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>
    <definedName name="_xlnm.Print_Titles" localSheetId="0">'附件'!$3:$3</definedName>
  </definedNames>
  <calcPr fullCalcOnLoad="1"/>
</workbook>
</file>

<file path=xl/sharedStrings.xml><?xml version="1.0" encoding="utf-8"?>
<sst xmlns="http://schemas.openxmlformats.org/spreadsheetml/2006/main" count="306" uniqueCount="38">
  <si>
    <t>附件</t>
  </si>
  <si>
    <t>2023年碧江区区管国有企业公开招聘工作人员面试成绩及考试总成绩</t>
  </si>
  <si>
    <t>序号</t>
  </si>
  <si>
    <t>准考证号</t>
  </si>
  <si>
    <t>姓名</t>
  </si>
  <si>
    <t>招聘单位</t>
  </si>
  <si>
    <t>岗位代码</t>
  </si>
  <si>
    <t>岗位名称</t>
  </si>
  <si>
    <t>笔试成绩</t>
  </si>
  <si>
    <t>笔试成绩×40%</t>
  </si>
  <si>
    <t>面试成绩</t>
  </si>
  <si>
    <t>面试成绩×60%</t>
  </si>
  <si>
    <t>考试总成绩</t>
  </si>
  <si>
    <t>总成绩排名</t>
  </si>
  <si>
    <t>资格复审是否合格</t>
  </si>
  <si>
    <t>是否为拟体检对象</t>
  </si>
  <si>
    <t>备注</t>
  </si>
  <si>
    <t>铜仁市山水城乡建设投资发展集团有限公司</t>
  </si>
  <si>
    <t>项目规划设计岗</t>
  </si>
  <si>
    <t>合格</t>
  </si>
  <si>
    <t>是</t>
  </si>
  <si>
    <t>递补合格</t>
  </si>
  <si>
    <t>财务会计岗</t>
  </si>
  <si>
    <t>出纳岗</t>
  </si>
  <si>
    <t>项目建设工程管理岗</t>
  </si>
  <si>
    <t>面试缺考</t>
  </si>
  <si>
    <t>测绘岗</t>
  </si>
  <si>
    <t>投融资岗</t>
  </si>
  <si>
    <t>金融岗</t>
  </si>
  <si>
    <t>铜仁市国有资产投资有限公司</t>
  </si>
  <si>
    <t>财务岗</t>
  </si>
  <si>
    <t>项目建设推进岗</t>
  </si>
  <si>
    <t>铜仁市常丰实业（集团）有限责任公司</t>
  </si>
  <si>
    <t>人力资源部工作人员</t>
  </si>
  <si>
    <t>投融资业务部工作人员</t>
  </si>
  <si>
    <t>项目建设推进部工作人员</t>
  </si>
  <si>
    <t>工程管理部工作人员（环境工程方向）</t>
  </si>
  <si>
    <t>招投标专员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</si>
</sst>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26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2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0" fillId="9" borderId="0" applyNumberFormat="0" applyBorder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/>
    </xf>
    <xf numFmtId="176" fontId="49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 topLeftCell="A1">
      <pane ySplit="3" topLeftCell="A4" activePane="bottomLeft" state="frozen"/>
      <selection pane="bottomLeft" activeCell="Q9" sqref="Q9"/>
    </sheetView>
  </sheetViews>
  <sheetFormatPr defaultColWidth="9.00390625" defaultRowHeight="15" customHeight="1"/>
  <cols>
    <col min="1" max="1" width="5.28125" style="5" customWidth="1"/>
    <col min="2" max="2" width="11.7109375" style="5" customWidth="1"/>
    <col min="3" max="3" width="8.8515625" style="5" customWidth="1"/>
    <col min="4" max="4" width="32.8515625" style="6" customWidth="1"/>
    <col min="5" max="5" width="8.8515625" style="5" customWidth="1"/>
    <col min="6" max="6" width="29.140625" style="7" customWidth="1"/>
    <col min="7" max="7" width="8.28125" style="8" customWidth="1"/>
    <col min="8" max="8" width="9.7109375" style="9" customWidth="1"/>
    <col min="9" max="9" width="8.140625" style="8" customWidth="1"/>
    <col min="10" max="10" width="13.140625" style="5" customWidth="1"/>
    <col min="11" max="11" width="9.00390625" style="5" customWidth="1"/>
    <col min="12" max="12" width="7.421875" style="5" customWidth="1"/>
    <col min="13" max="14" width="10.421875" style="5" customWidth="1"/>
    <col min="15" max="15" width="7.28125" style="5" customWidth="1"/>
    <col min="16" max="16384" width="9.00390625" style="5" customWidth="1"/>
  </cols>
  <sheetData>
    <row r="1" ht="15" customHeight="1">
      <c r="A1" s="5" t="s">
        <v>0</v>
      </c>
    </row>
    <row r="2" spans="1:9" ht="40.5" customHeight="1">
      <c r="A2" s="10" t="s">
        <v>1</v>
      </c>
      <c r="D2" s="5"/>
      <c r="F2" s="5"/>
      <c r="G2" s="5"/>
      <c r="H2" s="5"/>
      <c r="I2" s="5"/>
    </row>
    <row r="3" spans="1:15" s="1" customFormat="1" ht="30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3" t="s">
        <v>8</v>
      </c>
      <c r="H3" s="13" t="s">
        <v>9</v>
      </c>
      <c r="I3" s="13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2" customFormat="1" ht="16.5" customHeight="1">
      <c r="A4" s="14">
        <v>1</v>
      </c>
      <c r="B4" s="15" t="str">
        <f>"2023070115"</f>
        <v>2023070115</v>
      </c>
      <c r="C4" s="15" t="str">
        <f>"杨彬清"</f>
        <v>杨彬清</v>
      </c>
      <c r="D4" s="15" t="s">
        <v>17</v>
      </c>
      <c r="E4" s="15" t="str">
        <f aca="true" t="shared" si="0" ref="E4:E13">"GQ01"</f>
        <v>GQ01</v>
      </c>
      <c r="F4" s="15" t="s">
        <v>18</v>
      </c>
      <c r="G4" s="16">
        <v>68.38</v>
      </c>
      <c r="H4" s="17">
        <f aca="true" t="shared" si="1" ref="H4:H13">G4*0.4</f>
        <v>27.352</v>
      </c>
      <c r="I4" s="17">
        <v>79.17</v>
      </c>
      <c r="J4" s="17">
        <f aca="true" t="shared" si="2" ref="J4:J13">I4*0.6</f>
        <v>47.502</v>
      </c>
      <c r="K4" s="17">
        <f aca="true" t="shared" si="3" ref="K4:K13">H4+J4</f>
        <v>74.854</v>
      </c>
      <c r="L4" s="34">
        <v>1</v>
      </c>
      <c r="M4" s="15" t="s">
        <v>19</v>
      </c>
      <c r="N4" s="15" t="s">
        <v>20</v>
      </c>
      <c r="O4" s="15"/>
    </row>
    <row r="5" spans="1:15" s="2" customFormat="1" ht="16.5" customHeight="1">
      <c r="A5" s="14">
        <v>2</v>
      </c>
      <c r="B5" s="15" t="str">
        <f>"2023070105"</f>
        <v>2023070105</v>
      </c>
      <c r="C5" s="15" t="str">
        <f>"池骋"</f>
        <v>池骋</v>
      </c>
      <c r="D5" s="15" t="s">
        <v>17</v>
      </c>
      <c r="E5" s="15" t="str">
        <f t="shared" si="0"/>
        <v>GQ01</v>
      </c>
      <c r="F5" s="15" t="s">
        <v>18</v>
      </c>
      <c r="G5" s="16">
        <v>72.73</v>
      </c>
      <c r="H5" s="17">
        <f t="shared" si="1"/>
        <v>29.092000000000002</v>
      </c>
      <c r="I5" s="17">
        <v>76.2</v>
      </c>
      <c r="J5" s="17">
        <f t="shared" si="2"/>
        <v>45.72</v>
      </c>
      <c r="K5" s="17">
        <f t="shared" si="3"/>
        <v>74.812</v>
      </c>
      <c r="L5" s="34">
        <v>2</v>
      </c>
      <c r="M5" s="15" t="s">
        <v>19</v>
      </c>
      <c r="N5" s="15" t="s">
        <v>20</v>
      </c>
      <c r="O5" s="15"/>
    </row>
    <row r="6" spans="1:15" ht="16.5" customHeight="1">
      <c r="A6" s="14">
        <v>3</v>
      </c>
      <c r="B6" s="15" t="str">
        <f>"2023070124"</f>
        <v>2023070124</v>
      </c>
      <c r="C6" s="15" t="str">
        <f>"姚星宇"</f>
        <v>姚星宇</v>
      </c>
      <c r="D6" s="15" t="s">
        <v>17</v>
      </c>
      <c r="E6" s="15" t="str">
        <f t="shared" si="0"/>
        <v>GQ01</v>
      </c>
      <c r="F6" s="15" t="s">
        <v>18</v>
      </c>
      <c r="G6" s="16">
        <v>71.44</v>
      </c>
      <c r="H6" s="17">
        <f t="shared" si="1"/>
        <v>28.576</v>
      </c>
      <c r="I6" s="17">
        <v>75.83</v>
      </c>
      <c r="J6" s="17">
        <f t="shared" si="2"/>
        <v>45.498</v>
      </c>
      <c r="K6" s="17">
        <f t="shared" si="3"/>
        <v>74.074</v>
      </c>
      <c r="L6" s="34">
        <v>3</v>
      </c>
      <c r="M6" s="15" t="s">
        <v>19</v>
      </c>
      <c r="N6" s="14"/>
      <c r="O6" s="14"/>
    </row>
    <row r="7" spans="1:15" ht="16.5" customHeight="1">
      <c r="A7" s="14">
        <v>4</v>
      </c>
      <c r="B7" s="15" t="str">
        <f>"2023070118"</f>
        <v>2023070118</v>
      </c>
      <c r="C7" s="15" t="str">
        <f>"陈乔"</f>
        <v>陈乔</v>
      </c>
      <c r="D7" s="15" t="s">
        <v>17</v>
      </c>
      <c r="E7" s="15" t="str">
        <f t="shared" si="0"/>
        <v>GQ01</v>
      </c>
      <c r="F7" s="15" t="s">
        <v>18</v>
      </c>
      <c r="G7" s="16">
        <v>70.15</v>
      </c>
      <c r="H7" s="17">
        <f t="shared" si="1"/>
        <v>28.060000000000002</v>
      </c>
      <c r="I7" s="17">
        <v>75.3</v>
      </c>
      <c r="J7" s="17">
        <f t="shared" si="2"/>
        <v>45.18</v>
      </c>
      <c r="K7" s="17">
        <f t="shared" si="3"/>
        <v>73.24000000000001</v>
      </c>
      <c r="L7" s="34">
        <v>4</v>
      </c>
      <c r="M7" s="15" t="s">
        <v>19</v>
      </c>
      <c r="N7" s="14"/>
      <c r="O7" s="14"/>
    </row>
    <row r="8" spans="1:15" ht="16.5" customHeight="1">
      <c r="A8" s="14">
        <v>5</v>
      </c>
      <c r="B8" s="15" t="str">
        <f>"2023070107"</f>
        <v>2023070107</v>
      </c>
      <c r="C8" s="15" t="str">
        <f>"姚思凡"</f>
        <v>姚思凡</v>
      </c>
      <c r="D8" s="15" t="s">
        <v>17</v>
      </c>
      <c r="E8" s="15" t="str">
        <f t="shared" si="0"/>
        <v>GQ01</v>
      </c>
      <c r="F8" s="15" t="s">
        <v>18</v>
      </c>
      <c r="G8" s="16">
        <v>67.22</v>
      </c>
      <c r="H8" s="17">
        <f t="shared" si="1"/>
        <v>26.888</v>
      </c>
      <c r="I8" s="17">
        <v>71</v>
      </c>
      <c r="J8" s="17">
        <f t="shared" si="2"/>
        <v>42.6</v>
      </c>
      <c r="K8" s="17">
        <f t="shared" si="3"/>
        <v>69.488</v>
      </c>
      <c r="L8" s="34">
        <v>5</v>
      </c>
      <c r="M8" s="15" t="s">
        <v>19</v>
      </c>
      <c r="N8" s="14"/>
      <c r="O8" s="14"/>
    </row>
    <row r="9" spans="1:15" ht="16.5" customHeight="1">
      <c r="A9" s="14">
        <v>6</v>
      </c>
      <c r="B9" s="15" t="str">
        <f>"2023070108"</f>
        <v>2023070108</v>
      </c>
      <c r="C9" s="15" t="str">
        <f>"任五山"</f>
        <v>任五山</v>
      </c>
      <c r="D9" s="15" t="s">
        <v>17</v>
      </c>
      <c r="E9" s="15" t="str">
        <f t="shared" si="0"/>
        <v>GQ01</v>
      </c>
      <c r="F9" s="15" t="s">
        <v>18</v>
      </c>
      <c r="G9" s="16">
        <v>70</v>
      </c>
      <c r="H9" s="17">
        <f t="shared" si="1"/>
        <v>28</v>
      </c>
      <c r="I9" s="17">
        <v>69</v>
      </c>
      <c r="J9" s="17">
        <f t="shared" si="2"/>
        <v>41.4</v>
      </c>
      <c r="K9" s="17">
        <f t="shared" si="3"/>
        <v>69.4</v>
      </c>
      <c r="L9" s="34">
        <v>6</v>
      </c>
      <c r="M9" s="15" t="s">
        <v>19</v>
      </c>
      <c r="N9" s="14"/>
      <c r="O9" s="14"/>
    </row>
    <row r="10" spans="1:15" ht="16.5" customHeight="1">
      <c r="A10" s="14">
        <v>7</v>
      </c>
      <c r="B10" s="15" t="str">
        <f>"2023070123"</f>
        <v>2023070123</v>
      </c>
      <c r="C10" s="15" t="str">
        <f>"黄亚玲"</f>
        <v>黄亚玲</v>
      </c>
      <c r="D10" s="15" t="s">
        <v>17</v>
      </c>
      <c r="E10" s="15" t="str">
        <f t="shared" si="0"/>
        <v>GQ01</v>
      </c>
      <c r="F10" s="15" t="s">
        <v>18</v>
      </c>
      <c r="G10" s="16">
        <v>68.5</v>
      </c>
      <c r="H10" s="17">
        <f t="shared" si="1"/>
        <v>27.400000000000002</v>
      </c>
      <c r="I10" s="17">
        <v>69.4</v>
      </c>
      <c r="J10" s="17">
        <f t="shared" si="2"/>
        <v>41.64</v>
      </c>
      <c r="K10" s="17">
        <f t="shared" si="3"/>
        <v>69.04</v>
      </c>
      <c r="L10" s="34">
        <v>7</v>
      </c>
      <c r="M10" s="15" t="s">
        <v>19</v>
      </c>
      <c r="N10" s="14"/>
      <c r="O10" s="14"/>
    </row>
    <row r="11" spans="1:15" ht="16.5" customHeight="1">
      <c r="A11" s="14">
        <v>8</v>
      </c>
      <c r="B11" s="15" t="str">
        <f>"2023070110"</f>
        <v>2023070110</v>
      </c>
      <c r="C11" s="15" t="str">
        <f>"杨婷"</f>
        <v>杨婷</v>
      </c>
      <c r="D11" s="15" t="s">
        <v>17</v>
      </c>
      <c r="E11" s="15" t="str">
        <f t="shared" si="0"/>
        <v>GQ01</v>
      </c>
      <c r="F11" s="15" t="s">
        <v>18</v>
      </c>
      <c r="G11" s="16">
        <v>64.07</v>
      </c>
      <c r="H11" s="17">
        <f t="shared" si="1"/>
        <v>25.628</v>
      </c>
      <c r="I11" s="17">
        <v>70.77</v>
      </c>
      <c r="J11" s="17">
        <f t="shared" si="2"/>
        <v>42.461999999999996</v>
      </c>
      <c r="K11" s="17">
        <f t="shared" si="3"/>
        <v>68.09</v>
      </c>
      <c r="L11" s="34">
        <v>8</v>
      </c>
      <c r="M11" s="15" t="s">
        <v>19</v>
      </c>
      <c r="N11" s="14"/>
      <c r="O11" s="14"/>
    </row>
    <row r="12" spans="1:15" ht="16.5" customHeight="1">
      <c r="A12" s="14">
        <v>9</v>
      </c>
      <c r="B12" s="18" t="str">
        <f>"2023070126"</f>
        <v>2023070126</v>
      </c>
      <c r="C12" s="18" t="str">
        <f>"姚茂金"</f>
        <v>姚茂金</v>
      </c>
      <c r="D12" s="18" t="s">
        <v>17</v>
      </c>
      <c r="E12" s="18" t="str">
        <f t="shared" si="0"/>
        <v>GQ01</v>
      </c>
      <c r="F12" s="18" t="s">
        <v>18</v>
      </c>
      <c r="G12" s="19">
        <v>63.66</v>
      </c>
      <c r="H12" s="17">
        <f t="shared" si="1"/>
        <v>25.464</v>
      </c>
      <c r="I12" s="17">
        <v>70.37</v>
      </c>
      <c r="J12" s="17">
        <f t="shared" si="2"/>
        <v>42.222</v>
      </c>
      <c r="K12" s="17">
        <f t="shared" si="3"/>
        <v>67.686</v>
      </c>
      <c r="L12" s="34">
        <v>9</v>
      </c>
      <c r="M12" s="34" t="s">
        <v>21</v>
      </c>
      <c r="N12" s="18"/>
      <c r="O12" s="18"/>
    </row>
    <row r="13" spans="1:15" s="3" customFormat="1" ht="16.5" customHeight="1">
      <c r="A13" s="20">
        <v>10</v>
      </c>
      <c r="B13" s="21" t="str">
        <f>"2023070102"</f>
        <v>2023070102</v>
      </c>
      <c r="C13" s="21" t="str">
        <f>"佘龙浩"</f>
        <v>佘龙浩</v>
      </c>
      <c r="D13" s="21" t="s">
        <v>17</v>
      </c>
      <c r="E13" s="21" t="str">
        <f t="shared" si="0"/>
        <v>GQ01</v>
      </c>
      <c r="F13" s="21" t="s">
        <v>18</v>
      </c>
      <c r="G13" s="22">
        <v>66.19</v>
      </c>
      <c r="H13" s="23">
        <f t="shared" si="1"/>
        <v>26.476</v>
      </c>
      <c r="I13" s="23">
        <v>67.1</v>
      </c>
      <c r="J13" s="23">
        <f t="shared" si="2"/>
        <v>40.26</v>
      </c>
      <c r="K13" s="23">
        <f t="shared" si="3"/>
        <v>66.73599999999999</v>
      </c>
      <c r="L13" s="35">
        <v>10</v>
      </c>
      <c r="M13" s="21" t="s">
        <v>19</v>
      </c>
      <c r="N13" s="20"/>
      <c r="O13" s="20"/>
    </row>
    <row r="14" spans="1:15" s="2" customFormat="1" ht="16.5" customHeight="1">
      <c r="A14" s="24">
        <v>11</v>
      </c>
      <c r="B14" s="25" t="str">
        <f>"2023070205"</f>
        <v>2023070205</v>
      </c>
      <c r="C14" s="25" t="str">
        <f>"陈芳"</f>
        <v>陈芳</v>
      </c>
      <c r="D14" s="25" t="s">
        <v>17</v>
      </c>
      <c r="E14" s="25" t="str">
        <f aca="true" t="shared" si="4" ref="E14:E20">"GQ02"</f>
        <v>GQ02</v>
      </c>
      <c r="F14" s="25" t="s">
        <v>22</v>
      </c>
      <c r="G14" s="26">
        <v>65.43</v>
      </c>
      <c r="H14" s="27">
        <f aca="true" t="shared" si="5" ref="H6:H77">G14*0.4</f>
        <v>26.172000000000004</v>
      </c>
      <c r="I14" s="27">
        <v>78.07</v>
      </c>
      <c r="J14" s="27">
        <f aca="true" t="shared" si="6" ref="J6:J77">I14*0.6</f>
        <v>46.84199999999999</v>
      </c>
      <c r="K14" s="27">
        <f aca="true" t="shared" si="7" ref="K6:K77">H14+J14</f>
        <v>73.014</v>
      </c>
      <c r="L14" s="36">
        <v>1</v>
      </c>
      <c r="M14" s="25" t="s">
        <v>19</v>
      </c>
      <c r="N14" s="25" t="s">
        <v>20</v>
      </c>
      <c r="O14" s="25"/>
    </row>
    <row r="15" spans="1:15" s="2" customFormat="1" ht="16.5" customHeight="1">
      <c r="A15" s="14">
        <v>12</v>
      </c>
      <c r="B15" s="15" t="str">
        <f>"2023070201"</f>
        <v>2023070201</v>
      </c>
      <c r="C15" s="15" t="str">
        <f>"熊浩"</f>
        <v>熊浩</v>
      </c>
      <c r="D15" s="15" t="s">
        <v>17</v>
      </c>
      <c r="E15" s="15" t="str">
        <f t="shared" si="4"/>
        <v>GQ02</v>
      </c>
      <c r="F15" s="15" t="s">
        <v>22</v>
      </c>
      <c r="G15" s="16">
        <v>66.69</v>
      </c>
      <c r="H15" s="17">
        <f t="shared" si="5"/>
        <v>26.676000000000002</v>
      </c>
      <c r="I15" s="17">
        <v>69.9</v>
      </c>
      <c r="J15" s="17">
        <f t="shared" si="6"/>
        <v>41.940000000000005</v>
      </c>
      <c r="K15" s="17">
        <f t="shared" si="7"/>
        <v>68.61600000000001</v>
      </c>
      <c r="L15" s="34">
        <v>2</v>
      </c>
      <c r="M15" s="15" t="s">
        <v>19</v>
      </c>
      <c r="N15" s="15" t="s">
        <v>20</v>
      </c>
      <c r="O15" s="15"/>
    </row>
    <row r="16" spans="1:15" ht="16.5" customHeight="1">
      <c r="A16" s="14">
        <v>13</v>
      </c>
      <c r="B16" s="28" t="str">
        <f>"2023070127"</f>
        <v>2023070127</v>
      </c>
      <c r="C16" s="28" t="str">
        <f>"黄金梅"</f>
        <v>黄金梅</v>
      </c>
      <c r="D16" s="28" t="s">
        <v>17</v>
      </c>
      <c r="E16" s="28" t="str">
        <f t="shared" si="4"/>
        <v>GQ02</v>
      </c>
      <c r="F16" s="28" t="s">
        <v>22</v>
      </c>
      <c r="G16" s="16">
        <v>57.35</v>
      </c>
      <c r="H16" s="17">
        <f t="shared" si="5"/>
        <v>22.94</v>
      </c>
      <c r="I16" s="16">
        <v>74.83</v>
      </c>
      <c r="J16" s="17">
        <f t="shared" si="6"/>
        <v>44.897999999999996</v>
      </c>
      <c r="K16" s="17">
        <f t="shared" si="7"/>
        <v>67.838</v>
      </c>
      <c r="L16" s="19">
        <v>3</v>
      </c>
      <c r="M16" s="15" t="s">
        <v>19</v>
      </c>
      <c r="N16" s="37"/>
      <c r="O16" s="37"/>
    </row>
    <row r="17" spans="1:15" ht="16.5" customHeight="1">
      <c r="A17" s="14">
        <v>14</v>
      </c>
      <c r="B17" s="15" t="str">
        <f>"2023070128"</f>
        <v>2023070128</v>
      </c>
      <c r="C17" s="15" t="str">
        <f>"喻莎莎"</f>
        <v>喻莎莎</v>
      </c>
      <c r="D17" s="15" t="s">
        <v>17</v>
      </c>
      <c r="E17" s="15" t="str">
        <f t="shared" si="4"/>
        <v>GQ02</v>
      </c>
      <c r="F17" s="15" t="s">
        <v>22</v>
      </c>
      <c r="G17" s="16">
        <v>62</v>
      </c>
      <c r="H17" s="17">
        <f t="shared" si="5"/>
        <v>24.8</v>
      </c>
      <c r="I17" s="17">
        <v>69</v>
      </c>
      <c r="J17" s="17">
        <f t="shared" si="6"/>
        <v>41.4</v>
      </c>
      <c r="K17" s="17">
        <f t="shared" si="7"/>
        <v>66.2</v>
      </c>
      <c r="L17" s="34">
        <v>4</v>
      </c>
      <c r="M17" s="15" t="s">
        <v>19</v>
      </c>
      <c r="N17" s="14"/>
      <c r="O17" s="14"/>
    </row>
    <row r="18" spans="1:15" ht="16.5" customHeight="1">
      <c r="A18" s="14">
        <v>15</v>
      </c>
      <c r="B18" s="28" t="str">
        <f>"2023070207"</f>
        <v>2023070207</v>
      </c>
      <c r="C18" s="28" t="str">
        <f>"唐永慧"</f>
        <v>唐永慧</v>
      </c>
      <c r="D18" s="28" t="s">
        <v>17</v>
      </c>
      <c r="E18" s="28" t="str">
        <f t="shared" si="4"/>
        <v>GQ02</v>
      </c>
      <c r="F18" s="28" t="s">
        <v>22</v>
      </c>
      <c r="G18" s="16">
        <v>60.78</v>
      </c>
      <c r="H18" s="17">
        <f t="shared" si="5"/>
        <v>24.312</v>
      </c>
      <c r="I18" s="16">
        <v>69</v>
      </c>
      <c r="J18" s="17">
        <f t="shared" si="6"/>
        <v>41.4</v>
      </c>
      <c r="K18" s="17">
        <f t="shared" si="7"/>
        <v>65.712</v>
      </c>
      <c r="L18" s="19">
        <v>5</v>
      </c>
      <c r="M18" s="15" t="s">
        <v>19</v>
      </c>
      <c r="N18" s="37"/>
      <c r="O18" s="37"/>
    </row>
    <row r="19" spans="1:15" ht="16.5" customHeight="1">
      <c r="A19" s="14">
        <v>16</v>
      </c>
      <c r="B19" s="28" t="str">
        <f>"2023070206"</f>
        <v>2023070206</v>
      </c>
      <c r="C19" s="28" t="str">
        <f>"王琴"</f>
        <v>王琴</v>
      </c>
      <c r="D19" s="28" t="s">
        <v>17</v>
      </c>
      <c r="E19" s="28" t="str">
        <f t="shared" si="4"/>
        <v>GQ02</v>
      </c>
      <c r="F19" s="28" t="s">
        <v>22</v>
      </c>
      <c r="G19" s="16">
        <v>67.5</v>
      </c>
      <c r="H19" s="17">
        <f t="shared" si="5"/>
        <v>27</v>
      </c>
      <c r="I19" s="16">
        <v>62.07</v>
      </c>
      <c r="J19" s="17">
        <f t="shared" si="6"/>
        <v>37.242</v>
      </c>
      <c r="K19" s="17">
        <f t="shared" si="7"/>
        <v>64.24199999999999</v>
      </c>
      <c r="L19" s="19">
        <v>6</v>
      </c>
      <c r="M19" s="15" t="s">
        <v>19</v>
      </c>
      <c r="N19" s="37"/>
      <c r="O19" s="37"/>
    </row>
    <row r="20" spans="1:15" ht="16.5" customHeight="1">
      <c r="A20" s="20">
        <v>17</v>
      </c>
      <c r="B20" s="21" t="str">
        <f>"2023070203"</f>
        <v>2023070203</v>
      </c>
      <c r="C20" s="21" t="str">
        <f>"蒋萧菲"</f>
        <v>蒋萧菲</v>
      </c>
      <c r="D20" s="21" t="s">
        <v>17</v>
      </c>
      <c r="E20" s="21" t="str">
        <f t="shared" si="4"/>
        <v>GQ02</v>
      </c>
      <c r="F20" s="21" t="s">
        <v>22</v>
      </c>
      <c r="G20" s="22">
        <v>57.47</v>
      </c>
      <c r="H20" s="23">
        <f t="shared" si="5"/>
        <v>22.988</v>
      </c>
      <c r="I20" s="23">
        <v>64.67</v>
      </c>
      <c r="J20" s="23">
        <f t="shared" si="6"/>
        <v>38.802</v>
      </c>
      <c r="K20" s="23">
        <f t="shared" si="7"/>
        <v>61.79</v>
      </c>
      <c r="L20" s="35">
        <v>7</v>
      </c>
      <c r="M20" s="21" t="s">
        <v>19</v>
      </c>
      <c r="N20" s="20"/>
      <c r="O20" s="20"/>
    </row>
    <row r="21" spans="1:15" s="2" customFormat="1" ht="16.5" customHeight="1">
      <c r="A21" s="24">
        <v>18</v>
      </c>
      <c r="B21" s="29" t="str">
        <f>"2023070230"</f>
        <v>2023070230</v>
      </c>
      <c r="C21" s="29" t="str">
        <f>"张可心"</f>
        <v>张可心</v>
      </c>
      <c r="D21" s="29" t="s">
        <v>17</v>
      </c>
      <c r="E21" s="29" t="str">
        <f>"GQ03"</f>
        <v>GQ03</v>
      </c>
      <c r="F21" s="29" t="s">
        <v>23</v>
      </c>
      <c r="G21" s="26">
        <v>72.59</v>
      </c>
      <c r="H21" s="27">
        <f t="shared" si="5"/>
        <v>29.036</v>
      </c>
      <c r="I21" s="26">
        <v>69.63</v>
      </c>
      <c r="J21" s="27">
        <f t="shared" si="6"/>
        <v>41.778</v>
      </c>
      <c r="K21" s="27">
        <f t="shared" si="7"/>
        <v>70.814</v>
      </c>
      <c r="L21" s="38">
        <v>1</v>
      </c>
      <c r="M21" s="25" t="s">
        <v>19</v>
      </c>
      <c r="N21" s="29" t="s">
        <v>20</v>
      </c>
      <c r="O21" s="29"/>
    </row>
    <row r="22" spans="1:15" ht="16.5" customHeight="1">
      <c r="A22" s="14">
        <v>19</v>
      </c>
      <c r="B22" s="15" t="str">
        <f>"2023070305"</f>
        <v>2023070305</v>
      </c>
      <c r="C22" s="15" t="str">
        <f>"肖璐源"</f>
        <v>肖璐源</v>
      </c>
      <c r="D22" s="15" t="s">
        <v>17</v>
      </c>
      <c r="E22" s="15" t="str">
        <f>"GQ03"</f>
        <v>GQ03</v>
      </c>
      <c r="F22" s="15" t="s">
        <v>23</v>
      </c>
      <c r="G22" s="16">
        <v>67.59</v>
      </c>
      <c r="H22" s="17">
        <f t="shared" si="5"/>
        <v>27.036</v>
      </c>
      <c r="I22" s="17">
        <v>71.17</v>
      </c>
      <c r="J22" s="17">
        <f t="shared" si="6"/>
        <v>42.702</v>
      </c>
      <c r="K22" s="17">
        <f t="shared" si="7"/>
        <v>69.738</v>
      </c>
      <c r="L22" s="34">
        <v>2</v>
      </c>
      <c r="M22" s="15" t="s">
        <v>19</v>
      </c>
      <c r="N22" s="14"/>
      <c r="O22" s="14"/>
    </row>
    <row r="23" spans="1:15" ht="16.5" customHeight="1">
      <c r="A23" s="14">
        <v>20</v>
      </c>
      <c r="B23" s="15" t="str">
        <f>"2023070303"</f>
        <v>2023070303</v>
      </c>
      <c r="C23" s="15" t="str">
        <f>"张蓉蓉"</f>
        <v>张蓉蓉</v>
      </c>
      <c r="D23" s="15" t="s">
        <v>17</v>
      </c>
      <c r="E23" s="15" t="str">
        <f>"GQ03"</f>
        <v>GQ03</v>
      </c>
      <c r="F23" s="15" t="s">
        <v>23</v>
      </c>
      <c r="G23" s="16">
        <v>64.19</v>
      </c>
      <c r="H23" s="17">
        <f t="shared" si="5"/>
        <v>25.676000000000002</v>
      </c>
      <c r="I23" s="17">
        <v>73.33</v>
      </c>
      <c r="J23" s="17">
        <f t="shared" si="6"/>
        <v>43.998</v>
      </c>
      <c r="K23" s="17">
        <f t="shared" si="7"/>
        <v>69.674</v>
      </c>
      <c r="L23" s="34">
        <v>3</v>
      </c>
      <c r="M23" s="15" t="s">
        <v>19</v>
      </c>
      <c r="N23" s="14"/>
      <c r="O23" s="14"/>
    </row>
    <row r="24" spans="1:15" ht="16.5" customHeight="1">
      <c r="A24" s="14">
        <v>21</v>
      </c>
      <c r="B24" s="28" t="str">
        <f>"2023070208"</f>
        <v>2023070208</v>
      </c>
      <c r="C24" s="28" t="str">
        <f>"陈玉芳"</f>
        <v>陈玉芳</v>
      </c>
      <c r="D24" s="28" t="s">
        <v>17</v>
      </c>
      <c r="E24" s="28" t="str">
        <f>"GQ03"</f>
        <v>GQ03</v>
      </c>
      <c r="F24" s="28" t="s">
        <v>23</v>
      </c>
      <c r="G24" s="16">
        <v>62.4</v>
      </c>
      <c r="H24" s="17">
        <f t="shared" si="5"/>
        <v>24.96</v>
      </c>
      <c r="I24" s="16">
        <v>71.5</v>
      </c>
      <c r="J24" s="17">
        <f t="shared" si="6"/>
        <v>42.9</v>
      </c>
      <c r="K24" s="17">
        <f t="shared" si="7"/>
        <v>67.86</v>
      </c>
      <c r="L24" s="19">
        <v>4</v>
      </c>
      <c r="M24" s="15" t="s">
        <v>19</v>
      </c>
      <c r="N24" s="37"/>
      <c r="O24" s="37"/>
    </row>
    <row r="25" spans="1:15" ht="16.5" customHeight="1">
      <c r="A25" s="20">
        <v>22</v>
      </c>
      <c r="B25" s="21" t="str">
        <f>"2023070209"</f>
        <v>2023070209</v>
      </c>
      <c r="C25" s="21" t="str">
        <f>"龙涛"</f>
        <v>龙涛</v>
      </c>
      <c r="D25" s="21" t="s">
        <v>17</v>
      </c>
      <c r="E25" s="21" t="str">
        <f>"GQ03"</f>
        <v>GQ03</v>
      </c>
      <c r="F25" s="21" t="s">
        <v>23</v>
      </c>
      <c r="G25" s="22">
        <v>62.94</v>
      </c>
      <c r="H25" s="23">
        <f t="shared" si="5"/>
        <v>25.176000000000002</v>
      </c>
      <c r="I25" s="23">
        <v>67.37</v>
      </c>
      <c r="J25" s="23">
        <f t="shared" si="6"/>
        <v>40.422000000000004</v>
      </c>
      <c r="K25" s="23">
        <f t="shared" si="7"/>
        <v>65.59800000000001</v>
      </c>
      <c r="L25" s="35">
        <v>5</v>
      </c>
      <c r="M25" s="21" t="s">
        <v>19</v>
      </c>
      <c r="N25" s="20"/>
      <c r="O25" s="20"/>
    </row>
    <row r="26" spans="1:15" s="2" customFormat="1" ht="16.5" customHeight="1">
      <c r="A26" s="24">
        <v>23</v>
      </c>
      <c r="B26" s="29" t="str">
        <f>"2023070318"</f>
        <v>2023070318</v>
      </c>
      <c r="C26" s="29" t="str">
        <f>"彭云贵"</f>
        <v>彭云贵</v>
      </c>
      <c r="D26" s="29" t="s">
        <v>17</v>
      </c>
      <c r="E26" s="29" t="str">
        <f>"GQ04"</f>
        <v>GQ04</v>
      </c>
      <c r="F26" s="29" t="s">
        <v>24</v>
      </c>
      <c r="G26" s="26">
        <v>80.91</v>
      </c>
      <c r="H26" s="27">
        <f t="shared" si="5"/>
        <v>32.364</v>
      </c>
      <c r="I26" s="26">
        <v>74.6</v>
      </c>
      <c r="J26" s="27">
        <f t="shared" si="6"/>
        <v>44.76</v>
      </c>
      <c r="K26" s="27">
        <f t="shared" si="7"/>
        <v>77.124</v>
      </c>
      <c r="L26" s="38">
        <v>1</v>
      </c>
      <c r="M26" s="25" t="s">
        <v>19</v>
      </c>
      <c r="N26" s="29" t="s">
        <v>20</v>
      </c>
      <c r="O26" s="29"/>
    </row>
    <row r="27" spans="1:15" ht="16.5" customHeight="1">
      <c r="A27" s="14">
        <v>24</v>
      </c>
      <c r="B27" s="15" t="str">
        <f>"2023070310"</f>
        <v>2023070310</v>
      </c>
      <c r="C27" s="15" t="str">
        <f>"吴思华"</f>
        <v>吴思华</v>
      </c>
      <c r="D27" s="15" t="s">
        <v>17</v>
      </c>
      <c r="E27" s="15" t="str">
        <f>"GQ04"</f>
        <v>GQ04</v>
      </c>
      <c r="F27" s="15" t="s">
        <v>24</v>
      </c>
      <c r="G27" s="16">
        <v>76.99</v>
      </c>
      <c r="H27" s="17">
        <f t="shared" si="5"/>
        <v>30.796</v>
      </c>
      <c r="I27" s="17">
        <v>72.3</v>
      </c>
      <c r="J27" s="17">
        <f t="shared" si="6"/>
        <v>43.379999999999995</v>
      </c>
      <c r="K27" s="17">
        <f t="shared" si="7"/>
        <v>74.17599999999999</v>
      </c>
      <c r="L27" s="34">
        <v>2</v>
      </c>
      <c r="M27" s="15" t="s">
        <v>19</v>
      </c>
      <c r="N27" s="14"/>
      <c r="O27" s="14"/>
    </row>
    <row r="28" spans="1:15" ht="16.5" customHeight="1">
      <c r="A28" s="14">
        <v>25</v>
      </c>
      <c r="B28" s="15" t="str">
        <f>"2023070322"</f>
        <v>2023070322</v>
      </c>
      <c r="C28" s="15" t="str">
        <f>"李雄伟"</f>
        <v>李雄伟</v>
      </c>
      <c r="D28" s="15" t="s">
        <v>17</v>
      </c>
      <c r="E28" s="15" t="str">
        <f>"GQ04"</f>
        <v>GQ04</v>
      </c>
      <c r="F28" s="15" t="s">
        <v>24</v>
      </c>
      <c r="G28" s="16">
        <v>73.87</v>
      </c>
      <c r="H28" s="17">
        <f t="shared" si="5"/>
        <v>29.548000000000002</v>
      </c>
      <c r="I28" s="17">
        <v>71.8</v>
      </c>
      <c r="J28" s="17">
        <f t="shared" si="6"/>
        <v>43.08</v>
      </c>
      <c r="K28" s="17">
        <f t="shared" si="7"/>
        <v>72.628</v>
      </c>
      <c r="L28" s="34">
        <v>3</v>
      </c>
      <c r="M28" s="15" t="s">
        <v>19</v>
      </c>
      <c r="N28" s="14"/>
      <c r="O28" s="14"/>
    </row>
    <row r="29" spans="1:15" ht="16.5" customHeight="1">
      <c r="A29" s="14">
        <v>26</v>
      </c>
      <c r="B29" s="30" t="str">
        <f>"2023070329"</f>
        <v>2023070329</v>
      </c>
      <c r="C29" s="30" t="str">
        <f>"余兴贵"</f>
        <v>余兴贵</v>
      </c>
      <c r="D29" s="30" t="s">
        <v>17</v>
      </c>
      <c r="E29" s="30" t="str">
        <f>"GQ04"</f>
        <v>GQ04</v>
      </c>
      <c r="F29" s="30" t="s">
        <v>24</v>
      </c>
      <c r="G29" s="16">
        <v>73.03</v>
      </c>
      <c r="H29" s="17">
        <f t="shared" si="5"/>
        <v>29.212000000000003</v>
      </c>
      <c r="I29" s="17">
        <v>70.37</v>
      </c>
      <c r="J29" s="17">
        <f t="shared" si="6"/>
        <v>42.222</v>
      </c>
      <c r="K29" s="17">
        <f t="shared" si="7"/>
        <v>71.434</v>
      </c>
      <c r="L29" s="34">
        <v>4</v>
      </c>
      <c r="M29" s="34" t="s">
        <v>21</v>
      </c>
      <c r="N29" s="39"/>
      <c r="O29" s="39"/>
    </row>
    <row r="30" spans="1:15" s="3" customFormat="1" ht="16.5" customHeight="1">
      <c r="A30" s="20">
        <v>27</v>
      </c>
      <c r="B30" s="21" t="str">
        <f>"2023070309"</f>
        <v>2023070309</v>
      </c>
      <c r="C30" s="21" t="str">
        <f>"姚佳"</f>
        <v>姚佳</v>
      </c>
      <c r="D30" s="21" t="s">
        <v>17</v>
      </c>
      <c r="E30" s="21" t="str">
        <f>"GQ04"</f>
        <v>GQ04</v>
      </c>
      <c r="F30" s="21" t="s">
        <v>24</v>
      </c>
      <c r="G30" s="22">
        <v>75.75</v>
      </c>
      <c r="H30" s="23">
        <f t="shared" si="5"/>
        <v>30.3</v>
      </c>
      <c r="I30" s="23">
        <v>0</v>
      </c>
      <c r="J30" s="23">
        <f t="shared" si="6"/>
        <v>0</v>
      </c>
      <c r="K30" s="23">
        <f t="shared" si="7"/>
        <v>30.3</v>
      </c>
      <c r="L30" s="35">
        <v>5</v>
      </c>
      <c r="M30" s="35" t="s">
        <v>19</v>
      </c>
      <c r="N30" s="20"/>
      <c r="O30" s="21" t="s">
        <v>25</v>
      </c>
    </row>
    <row r="31" spans="1:15" s="2" customFormat="1" ht="16.5" customHeight="1">
      <c r="A31" s="24">
        <v>28</v>
      </c>
      <c r="B31" s="29" t="str">
        <f>"2023070422"</f>
        <v>2023070422</v>
      </c>
      <c r="C31" s="29" t="str">
        <f>"何润鑫"</f>
        <v>何润鑫</v>
      </c>
      <c r="D31" s="29" t="s">
        <v>17</v>
      </c>
      <c r="E31" s="29" t="str">
        <f>"GQ05"</f>
        <v>GQ05</v>
      </c>
      <c r="F31" s="29" t="s">
        <v>26</v>
      </c>
      <c r="G31" s="26">
        <v>66.85</v>
      </c>
      <c r="H31" s="27">
        <f t="shared" si="5"/>
        <v>26.74</v>
      </c>
      <c r="I31" s="26">
        <v>71.17</v>
      </c>
      <c r="J31" s="27">
        <f t="shared" si="6"/>
        <v>42.702</v>
      </c>
      <c r="K31" s="27">
        <f t="shared" si="7"/>
        <v>69.442</v>
      </c>
      <c r="L31" s="38">
        <v>1</v>
      </c>
      <c r="M31" s="36" t="s">
        <v>19</v>
      </c>
      <c r="N31" s="29" t="s">
        <v>20</v>
      </c>
      <c r="O31" s="29"/>
    </row>
    <row r="32" spans="1:15" ht="16.5" customHeight="1">
      <c r="A32" s="20">
        <v>29</v>
      </c>
      <c r="B32" s="31" t="str">
        <f>"2023070424"</f>
        <v>2023070424</v>
      </c>
      <c r="C32" s="31" t="str">
        <f>"杨文华"</f>
        <v>杨文华</v>
      </c>
      <c r="D32" s="31" t="s">
        <v>17</v>
      </c>
      <c r="E32" s="31" t="str">
        <f>"GQ05"</f>
        <v>GQ05</v>
      </c>
      <c r="F32" s="31" t="s">
        <v>26</v>
      </c>
      <c r="G32" s="22">
        <v>54.12</v>
      </c>
      <c r="H32" s="23">
        <f t="shared" si="5"/>
        <v>21.648</v>
      </c>
      <c r="I32" s="22">
        <v>0</v>
      </c>
      <c r="J32" s="23">
        <f t="shared" si="6"/>
        <v>0</v>
      </c>
      <c r="K32" s="23">
        <f t="shared" si="7"/>
        <v>21.648</v>
      </c>
      <c r="L32" s="33">
        <v>2</v>
      </c>
      <c r="M32" s="35" t="s">
        <v>19</v>
      </c>
      <c r="N32" s="40"/>
      <c r="O32" s="31" t="s">
        <v>25</v>
      </c>
    </row>
    <row r="33" spans="1:15" s="2" customFormat="1" ht="16.5" customHeight="1">
      <c r="A33" s="24">
        <v>30</v>
      </c>
      <c r="B33" s="25" t="str">
        <f>"2023070610"</f>
        <v>2023070610</v>
      </c>
      <c r="C33" s="25" t="str">
        <f>"陈星妮"</f>
        <v>陈星妮</v>
      </c>
      <c r="D33" s="25" t="s">
        <v>17</v>
      </c>
      <c r="E33" s="25" t="str">
        <f aca="true" t="shared" si="8" ref="E33:E42">"GQ06"</f>
        <v>GQ06</v>
      </c>
      <c r="F33" s="25" t="s">
        <v>27</v>
      </c>
      <c r="G33" s="26">
        <v>74</v>
      </c>
      <c r="H33" s="27">
        <f t="shared" si="5"/>
        <v>29.6</v>
      </c>
      <c r="I33" s="27">
        <v>79.47</v>
      </c>
      <c r="J33" s="27">
        <f t="shared" si="6"/>
        <v>47.681999999999995</v>
      </c>
      <c r="K33" s="27">
        <f t="shared" si="7"/>
        <v>77.282</v>
      </c>
      <c r="L33" s="36">
        <v>1</v>
      </c>
      <c r="M33" s="36" t="s">
        <v>19</v>
      </c>
      <c r="N33" s="25" t="s">
        <v>20</v>
      </c>
      <c r="O33" s="25"/>
    </row>
    <row r="34" spans="1:15" s="2" customFormat="1" ht="16.5" customHeight="1">
      <c r="A34" s="14">
        <v>31</v>
      </c>
      <c r="B34" s="28" t="str">
        <f>"2023070615"</f>
        <v>2023070615</v>
      </c>
      <c r="C34" s="28" t="str">
        <f>"吴介廷"</f>
        <v>吴介廷</v>
      </c>
      <c r="D34" s="28" t="s">
        <v>17</v>
      </c>
      <c r="E34" s="28" t="str">
        <f t="shared" si="8"/>
        <v>GQ06</v>
      </c>
      <c r="F34" s="28" t="s">
        <v>27</v>
      </c>
      <c r="G34" s="16">
        <v>72.41</v>
      </c>
      <c r="H34" s="17">
        <f t="shared" si="5"/>
        <v>28.964</v>
      </c>
      <c r="I34" s="16">
        <v>79.77</v>
      </c>
      <c r="J34" s="17">
        <f t="shared" si="6"/>
        <v>47.861999999999995</v>
      </c>
      <c r="K34" s="17">
        <f t="shared" si="7"/>
        <v>76.826</v>
      </c>
      <c r="L34" s="19">
        <v>2</v>
      </c>
      <c r="M34" s="34" t="s">
        <v>19</v>
      </c>
      <c r="N34" s="28" t="s">
        <v>20</v>
      </c>
      <c r="O34" s="28"/>
    </row>
    <row r="35" spans="1:15" ht="16.5" customHeight="1">
      <c r="A35" s="14">
        <v>32</v>
      </c>
      <c r="B35" s="15" t="str">
        <f>"2023070430"</f>
        <v>2023070430</v>
      </c>
      <c r="C35" s="15" t="str">
        <f>"刘仁增"</f>
        <v>刘仁增</v>
      </c>
      <c r="D35" s="15" t="s">
        <v>17</v>
      </c>
      <c r="E35" s="15" t="str">
        <f t="shared" si="8"/>
        <v>GQ06</v>
      </c>
      <c r="F35" s="15" t="s">
        <v>27</v>
      </c>
      <c r="G35" s="16">
        <v>76.91</v>
      </c>
      <c r="H35" s="17">
        <f t="shared" si="5"/>
        <v>30.764</v>
      </c>
      <c r="I35" s="17">
        <v>74.17</v>
      </c>
      <c r="J35" s="17">
        <f t="shared" si="6"/>
        <v>44.502</v>
      </c>
      <c r="K35" s="17">
        <f t="shared" si="7"/>
        <v>75.266</v>
      </c>
      <c r="L35" s="34">
        <v>3</v>
      </c>
      <c r="M35" s="34" t="s">
        <v>19</v>
      </c>
      <c r="N35" s="14"/>
      <c r="O35" s="14"/>
    </row>
    <row r="36" spans="1:15" ht="16.5" customHeight="1">
      <c r="A36" s="14">
        <v>33</v>
      </c>
      <c r="B36" s="28" t="str">
        <f>"2023070605"</f>
        <v>2023070605</v>
      </c>
      <c r="C36" s="28" t="str">
        <f>"文悦"</f>
        <v>文悦</v>
      </c>
      <c r="D36" s="28" t="s">
        <v>17</v>
      </c>
      <c r="E36" s="28" t="str">
        <f t="shared" si="8"/>
        <v>GQ06</v>
      </c>
      <c r="F36" s="28" t="s">
        <v>27</v>
      </c>
      <c r="G36" s="16">
        <v>78.25</v>
      </c>
      <c r="H36" s="17">
        <f t="shared" si="5"/>
        <v>31.3</v>
      </c>
      <c r="I36" s="16">
        <v>73.1</v>
      </c>
      <c r="J36" s="17">
        <f t="shared" si="6"/>
        <v>43.85999999999999</v>
      </c>
      <c r="K36" s="17">
        <f t="shared" si="7"/>
        <v>75.16</v>
      </c>
      <c r="L36" s="19">
        <v>4</v>
      </c>
      <c r="M36" s="34" t="s">
        <v>19</v>
      </c>
      <c r="N36" s="37"/>
      <c r="O36" s="37"/>
    </row>
    <row r="37" spans="1:15" ht="16.5" customHeight="1">
      <c r="A37" s="14">
        <v>34</v>
      </c>
      <c r="B37" s="28" t="str">
        <f>"2023070425"</f>
        <v>2023070425</v>
      </c>
      <c r="C37" s="28" t="str">
        <f>"黄恋雅"</f>
        <v>黄恋雅</v>
      </c>
      <c r="D37" s="28" t="s">
        <v>17</v>
      </c>
      <c r="E37" s="28" t="str">
        <f t="shared" si="8"/>
        <v>GQ06</v>
      </c>
      <c r="F37" s="28" t="s">
        <v>27</v>
      </c>
      <c r="G37" s="16">
        <v>77.07</v>
      </c>
      <c r="H37" s="17">
        <f t="shared" si="5"/>
        <v>30.828</v>
      </c>
      <c r="I37" s="16">
        <v>73.57</v>
      </c>
      <c r="J37" s="17">
        <f t="shared" si="6"/>
        <v>44.141999999999996</v>
      </c>
      <c r="K37" s="17">
        <f t="shared" si="7"/>
        <v>74.97</v>
      </c>
      <c r="L37" s="19">
        <v>5</v>
      </c>
      <c r="M37" s="34" t="s">
        <v>19</v>
      </c>
      <c r="N37" s="37"/>
      <c r="O37" s="37"/>
    </row>
    <row r="38" spans="1:15" ht="16.5" customHeight="1">
      <c r="A38" s="14">
        <v>35</v>
      </c>
      <c r="B38" s="15" t="str">
        <f>"2023070515"</f>
        <v>2023070515</v>
      </c>
      <c r="C38" s="15" t="str">
        <f>"邹梅芳"</f>
        <v>邹梅芳</v>
      </c>
      <c r="D38" s="15" t="s">
        <v>17</v>
      </c>
      <c r="E38" s="15" t="str">
        <f t="shared" si="8"/>
        <v>GQ06</v>
      </c>
      <c r="F38" s="15" t="s">
        <v>27</v>
      </c>
      <c r="G38" s="16">
        <v>73.32</v>
      </c>
      <c r="H38" s="17">
        <f t="shared" si="5"/>
        <v>29.328</v>
      </c>
      <c r="I38" s="17">
        <v>75.13</v>
      </c>
      <c r="J38" s="17">
        <f t="shared" si="6"/>
        <v>45.077999999999996</v>
      </c>
      <c r="K38" s="17">
        <f t="shared" si="7"/>
        <v>74.40599999999999</v>
      </c>
      <c r="L38" s="34">
        <v>6</v>
      </c>
      <c r="M38" s="34" t="s">
        <v>19</v>
      </c>
      <c r="N38" s="14"/>
      <c r="O38" s="14"/>
    </row>
    <row r="39" spans="1:15" ht="16.5" customHeight="1">
      <c r="A39" s="14">
        <v>36</v>
      </c>
      <c r="B39" s="15" t="str">
        <f>"2023070526"</f>
        <v>2023070526</v>
      </c>
      <c r="C39" s="15" t="str">
        <f>"陈朋"</f>
        <v>陈朋</v>
      </c>
      <c r="D39" s="15" t="s">
        <v>17</v>
      </c>
      <c r="E39" s="15" t="str">
        <f t="shared" si="8"/>
        <v>GQ06</v>
      </c>
      <c r="F39" s="15" t="s">
        <v>27</v>
      </c>
      <c r="G39" s="16">
        <v>76.72</v>
      </c>
      <c r="H39" s="17">
        <f t="shared" si="5"/>
        <v>30.688000000000002</v>
      </c>
      <c r="I39" s="17">
        <v>71.63</v>
      </c>
      <c r="J39" s="17">
        <f t="shared" si="6"/>
        <v>42.977999999999994</v>
      </c>
      <c r="K39" s="17">
        <f t="shared" si="7"/>
        <v>73.666</v>
      </c>
      <c r="L39" s="34">
        <v>7</v>
      </c>
      <c r="M39" s="34" t="s">
        <v>19</v>
      </c>
      <c r="N39" s="14"/>
      <c r="O39" s="14"/>
    </row>
    <row r="40" spans="1:15" s="3" customFormat="1" ht="16.5" customHeight="1">
      <c r="A40" s="14">
        <v>37</v>
      </c>
      <c r="B40" s="30" t="str">
        <f>"2023070601"</f>
        <v>2023070601</v>
      </c>
      <c r="C40" s="30" t="str">
        <f>"张衡"</f>
        <v>张衡</v>
      </c>
      <c r="D40" s="30" t="s">
        <v>17</v>
      </c>
      <c r="E40" s="30" t="str">
        <f t="shared" si="8"/>
        <v>GQ06</v>
      </c>
      <c r="F40" s="30" t="s">
        <v>27</v>
      </c>
      <c r="G40" s="19">
        <v>71.72</v>
      </c>
      <c r="H40" s="17">
        <f t="shared" si="5"/>
        <v>28.688000000000002</v>
      </c>
      <c r="I40" s="17">
        <v>73</v>
      </c>
      <c r="J40" s="17">
        <f t="shared" si="6"/>
        <v>43.8</v>
      </c>
      <c r="K40" s="17">
        <f t="shared" si="7"/>
        <v>72.488</v>
      </c>
      <c r="L40" s="34">
        <v>8</v>
      </c>
      <c r="M40" s="34" t="s">
        <v>21</v>
      </c>
      <c r="N40" s="30"/>
      <c r="O40" s="30"/>
    </row>
    <row r="41" spans="1:15" s="4" customFormat="1" ht="16.5" customHeight="1">
      <c r="A41" s="14">
        <v>38</v>
      </c>
      <c r="B41" s="30" t="str">
        <f>"2023070505"</f>
        <v>2023070505</v>
      </c>
      <c r="C41" s="30" t="str">
        <f>"张丹"</f>
        <v>张丹</v>
      </c>
      <c r="D41" s="30" t="s">
        <v>17</v>
      </c>
      <c r="E41" s="30" t="str">
        <f t="shared" si="8"/>
        <v>GQ06</v>
      </c>
      <c r="F41" s="30" t="s">
        <v>27</v>
      </c>
      <c r="G41" s="16">
        <v>72.28</v>
      </c>
      <c r="H41" s="17">
        <f t="shared" si="5"/>
        <v>28.912000000000003</v>
      </c>
      <c r="I41" s="17">
        <v>72.43</v>
      </c>
      <c r="J41" s="17">
        <f t="shared" si="6"/>
        <v>43.458000000000006</v>
      </c>
      <c r="K41" s="17">
        <f t="shared" si="7"/>
        <v>72.37</v>
      </c>
      <c r="L41" s="34">
        <v>9</v>
      </c>
      <c r="M41" s="34" t="s">
        <v>21</v>
      </c>
      <c r="N41" s="30"/>
      <c r="O41" s="30"/>
    </row>
    <row r="42" spans="1:15" s="3" customFormat="1" ht="16.5" customHeight="1">
      <c r="A42" s="20">
        <v>39</v>
      </c>
      <c r="B42" s="32" t="str">
        <f>"2023070609"</f>
        <v>2023070609</v>
      </c>
      <c r="C42" s="32" t="str">
        <f>"杨顺光"</f>
        <v>杨顺光</v>
      </c>
      <c r="D42" s="32" t="s">
        <v>17</v>
      </c>
      <c r="E42" s="32" t="str">
        <f t="shared" si="8"/>
        <v>GQ06</v>
      </c>
      <c r="F42" s="32" t="s">
        <v>27</v>
      </c>
      <c r="G42" s="33">
        <v>70.94</v>
      </c>
      <c r="H42" s="23">
        <f t="shared" si="5"/>
        <v>28.376</v>
      </c>
      <c r="I42" s="23">
        <v>0</v>
      </c>
      <c r="J42" s="23">
        <f t="shared" si="6"/>
        <v>0</v>
      </c>
      <c r="K42" s="23">
        <f t="shared" si="7"/>
        <v>28.376</v>
      </c>
      <c r="L42" s="35">
        <v>10</v>
      </c>
      <c r="M42" s="35" t="s">
        <v>21</v>
      </c>
      <c r="N42" s="32"/>
      <c r="O42" s="31" t="s">
        <v>25</v>
      </c>
    </row>
    <row r="43" spans="1:15" s="2" customFormat="1" ht="16.5" customHeight="1">
      <c r="A43" s="24">
        <v>40</v>
      </c>
      <c r="B43" s="29" t="str">
        <f>"2023070619"</f>
        <v>2023070619</v>
      </c>
      <c r="C43" s="29" t="str">
        <f>"田睿"</f>
        <v>田睿</v>
      </c>
      <c r="D43" s="29" t="s">
        <v>17</v>
      </c>
      <c r="E43" s="29" t="str">
        <f>"GQ07"</f>
        <v>GQ07</v>
      </c>
      <c r="F43" s="29" t="s">
        <v>28</v>
      </c>
      <c r="G43" s="26">
        <v>77.56</v>
      </c>
      <c r="H43" s="27">
        <f t="shared" si="5"/>
        <v>31.024</v>
      </c>
      <c r="I43" s="26">
        <v>80.5</v>
      </c>
      <c r="J43" s="27">
        <f t="shared" si="6"/>
        <v>48.3</v>
      </c>
      <c r="K43" s="27">
        <f t="shared" si="7"/>
        <v>79.324</v>
      </c>
      <c r="L43" s="38">
        <v>1</v>
      </c>
      <c r="M43" s="38" t="s">
        <v>19</v>
      </c>
      <c r="N43" s="29" t="s">
        <v>20</v>
      </c>
      <c r="O43" s="29"/>
    </row>
    <row r="44" spans="1:15" ht="16.5" customHeight="1">
      <c r="A44" s="14">
        <v>41</v>
      </c>
      <c r="B44" s="15" t="str">
        <f>"2023070623"</f>
        <v>2023070623</v>
      </c>
      <c r="C44" s="15" t="str">
        <f>"向羿嘉"</f>
        <v>向羿嘉</v>
      </c>
      <c r="D44" s="15" t="s">
        <v>17</v>
      </c>
      <c r="E44" s="15" t="str">
        <f>"GQ07"</f>
        <v>GQ07</v>
      </c>
      <c r="F44" s="15" t="s">
        <v>28</v>
      </c>
      <c r="G44" s="16">
        <v>69.91</v>
      </c>
      <c r="H44" s="17">
        <f t="shared" si="5"/>
        <v>27.964</v>
      </c>
      <c r="I44" s="17">
        <v>75.83</v>
      </c>
      <c r="J44" s="17">
        <f t="shared" si="6"/>
        <v>45.498</v>
      </c>
      <c r="K44" s="17">
        <f t="shared" si="7"/>
        <v>73.46199999999999</v>
      </c>
      <c r="L44" s="34">
        <v>2</v>
      </c>
      <c r="M44" s="19" t="s">
        <v>19</v>
      </c>
      <c r="N44" s="14"/>
      <c r="O44" s="28"/>
    </row>
    <row r="45" spans="1:15" ht="16.5" customHeight="1">
      <c r="A45" s="14">
        <v>42</v>
      </c>
      <c r="B45" s="28" t="str">
        <f>"2023070616"</f>
        <v>2023070616</v>
      </c>
      <c r="C45" s="28" t="str">
        <f>"何千"</f>
        <v>何千</v>
      </c>
      <c r="D45" s="28" t="s">
        <v>17</v>
      </c>
      <c r="E45" s="28" t="str">
        <f>"GQ07"</f>
        <v>GQ07</v>
      </c>
      <c r="F45" s="28" t="s">
        <v>28</v>
      </c>
      <c r="G45" s="16">
        <v>73.63</v>
      </c>
      <c r="H45" s="17">
        <f t="shared" si="5"/>
        <v>29.451999999999998</v>
      </c>
      <c r="I45" s="16">
        <v>72.5</v>
      </c>
      <c r="J45" s="17">
        <f t="shared" si="6"/>
        <v>43.5</v>
      </c>
      <c r="K45" s="17">
        <f t="shared" si="7"/>
        <v>72.952</v>
      </c>
      <c r="L45" s="19">
        <v>3</v>
      </c>
      <c r="M45" s="19" t="s">
        <v>19</v>
      </c>
      <c r="N45" s="37"/>
      <c r="O45" s="28"/>
    </row>
    <row r="46" spans="1:15" ht="16.5" customHeight="1">
      <c r="A46" s="14">
        <v>43</v>
      </c>
      <c r="B46" s="15" t="str">
        <f>"2023070625"</f>
        <v>2023070625</v>
      </c>
      <c r="C46" s="15" t="str">
        <f>"洪蕊"</f>
        <v>洪蕊</v>
      </c>
      <c r="D46" s="15" t="s">
        <v>17</v>
      </c>
      <c r="E46" s="15" t="str">
        <f>"GQ07"</f>
        <v>GQ07</v>
      </c>
      <c r="F46" s="15" t="s">
        <v>28</v>
      </c>
      <c r="G46" s="16">
        <v>74.75</v>
      </c>
      <c r="H46" s="17">
        <f t="shared" si="5"/>
        <v>29.900000000000002</v>
      </c>
      <c r="I46" s="17">
        <v>70.73</v>
      </c>
      <c r="J46" s="17">
        <f t="shared" si="6"/>
        <v>42.438</v>
      </c>
      <c r="K46" s="17">
        <f t="shared" si="7"/>
        <v>72.33800000000001</v>
      </c>
      <c r="L46" s="34">
        <v>4</v>
      </c>
      <c r="M46" s="19" t="s">
        <v>19</v>
      </c>
      <c r="N46" s="14"/>
      <c r="O46" s="28"/>
    </row>
    <row r="47" spans="1:15" ht="16.5" customHeight="1">
      <c r="A47" s="20">
        <v>44</v>
      </c>
      <c r="B47" s="31" t="str">
        <f>"2023070627"</f>
        <v>2023070627</v>
      </c>
      <c r="C47" s="31" t="str">
        <f>"龙永群"</f>
        <v>龙永群</v>
      </c>
      <c r="D47" s="31" t="s">
        <v>17</v>
      </c>
      <c r="E47" s="31" t="str">
        <f>"GQ07"</f>
        <v>GQ07</v>
      </c>
      <c r="F47" s="31" t="s">
        <v>28</v>
      </c>
      <c r="G47" s="22">
        <v>68.47</v>
      </c>
      <c r="H47" s="23">
        <f t="shared" si="5"/>
        <v>27.388</v>
      </c>
      <c r="I47" s="22">
        <v>70.4</v>
      </c>
      <c r="J47" s="23">
        <f t="shared" si="6"/>
        <v>42.24</v>
      </c>
      <c r="K47" s="23">
        <f t="shared" si="7"/>
        <v>69.628</v>
      </c>
      <c r="L47" s="33">
        <v>5</v>
      </c>
      <c r="M47" s="33" t="s">
        <v>19</v>
      </c>
      <c r="N47" s="40"/>
      <c r="O47" s="31"/>
    </row>
    <row r="48" spans="1:15" s="2" customFormat="1" ht="16.5" customHeight="1">
      <c r="A48" s="24">
        <v>45</v>
      </c>
      <c r="B48" s="29" t="str">
        <f>"2023070720"</f>
        <v>2023070720</v>
      </c>
      <c r="C48" s="29" t="str">
        <f>"舒瑶"</f>
        <v>舒瑶</v>
      </c>
      <c r="D48" s="29" t="s">
        <v>29</v>
      </c>
      <c r="E48" s="29" t="str">
        <f>"GQ08"</f>
        <v>GQ08</v>
      </c>
      <c r="F48" s="29" t="s">
        <v>27</v>
      </c>
      <c r="G48" s="26">
        <v>77.35</v>
      </c>
      <c r="H48" s="27">
        <f t="shared" si="5"/>
        <v>30.939999999999998</v>
      </c>
      <c r="I48" s="26">
        <v>74.67</v>
      </c>
      <c r="J48" s="27">
        <f t="shared" si="6"/>
        <v>44.802</v>
      </c>
      <c r="K48" s="27">
        <f t="shared" si="7"/>
        <v>75.74199999999999</v>
      </c>
      <c r="L48" s="38">
        <v>1</v>
      </c>
      <c r="M48" s="38" t="s">
        <v>19</v>
      </c>
      <c r="N48" s="29" t="s">
        <v>20</v>
      </c>
      <c r="O48" s="29"/>
    </row>
    <row r="49" spans="1:15" ht="16.5" customHeight="1">
      <c r="A49" s="14">
        <v>46</v>
      </c>
      <c r="B49" s="15" t="str">
        <f>"2023070821"</f>
        <v>2023070821</v>
      </c>
      <c r="C49" s="15" t="str">
        <f>"杨惠贤"</f>
        <v>杨惠贤</v>
      </c>
      <c r="D49" s="15" t="s">
        <v>29</v>
      </c>
      <c r="E49" s="15" t="str">
        <f>"GQ08"</f>
        <v>GQ08</v>
      </c>
      <c r="F49" s="15" t="s">
        <v>27</v>
      </c>
      <c r="G49" s="16">
        <v>75.84</v>
      </c>
      <c r="H49" s="17">
        <f t="shared" si="5"/>
        <v>30.336000000000002</v>
      </c>
      <c r="I49" s="17">
        <v>72.27</v>
      </c>
      <c r="J49" s="17">
        <f t="shared" si="6"/>
        <v>43.361999999999995</v>
      </c>
      <c r="K49" s="17">
        <f t="shared" si="7"/>
        <v>73.698</v>
      </c>
      <c r="L49" s="34">
        <v>2</v>
      </c>
      <c r="M49" s="19" t="s">
        <v>19</v>
      </c>
      <c r="N49" s="14"/>
      <c r="O49" s="28"/>
    </row>
    <row r="50" spans="1:15" ht="16.5" customHeight="1">
      <c r="A50" s="14">
        <v>47</v>
      </c>
      <c r="B50" s="15" t="str">
        <f>"2023070823"</f>
        <v>2023070823</v>
      </c>
      <c r="C50" s="15" t="str">
        <f>"杨小峰"</f>
        <v>杨小峰</v>
      </c>
      <c r="D50" s="15" t="s">
        <v>29</v>
      </c>
      <c r="E50" s="15" t="str">
        <f>"GQ08"</f>
        <v>GQ08</v>
      </c>
      <c r="F50" s="15" t="s">
        <v>27</v>
      </c>
      <c r="G50" s="16">
        <v>73.56</v>
      </c>
      <c r="H50" s="17">
        <f t="shared" si="5"/>
        <v>29.424000000000003</v>
      </c>
      <c r="I50" s="17">
        <v>71.1</v>
      </c>
      <c r="J50" s="17">
        <f t="shared" si="6"/>
        <v>42.66</v>
      </c>
      <c r="K50" s="17">
        <f t="shared" si="7"/>
        <v>72.084</v>
      </c>
      <c r="L50" s="34">
        <v>3</v>
      </c>
      <c r="M50" s="19" t="s">
        <v>19</v>
      </c>
      <c r="N50" s="14"/>
      <c r="O50" s="28"/>
    </row>
    <row r="51" spans="1:15" ht="16.5" customHeight="1">
      <c r="A51" s="14">
        <v>48</v>
      </c>
      <c r="B51" s="15" t="str">
        <f>"2023070728"</f>
        <v>2023070728</v>
      </c>
      <c r="C51" s="15" t="str">
        <f>"杨卓"</f>
        <v>杨卓</v>
      </c>
      <c r="D51" s="15" t="s">
        <v>29</v>
      </c>
      <c r="E51" s="15" t="str">
        <f>"GQ08"</f>
        <v>GQ08</v>
      </c>
      <c r="F51" s="15" t="s">
        <v>27</v>
      </c>
      <c r="G51" s="16">
        <v>76.26</v>
      </c>
      <c r="H51" s="17">
        <f t="shared" si="5"/>
        <v>30.504000000000005</v>
      </c>
      <c r="I51" s="17">
        <v>68.73</v>
      </c>
      <c r="J51" s="17">
        <f t="shared" si="6"/>
        <v>41.238</v>
      </c>
      <c r="K51" s="17">
        <f t="shared" si="7"/>
        <v>71.742</v>
      </c>
      <c r="L51" s="34">
        <v>4</v>
      </c>
      <c r="M51" s="19" t="s">
        <v>19</v>
      </c>
      <c r="N51" s="14"/>
      <c r="O51" s="28"/>
    </row>
    <row r="52" spans="1:15" s="3" customFormat="1" ht="16.5" customHeight="1">
      <c r="A52" s="20">
        <v>49</v>
      </c>
      <c r="B52" s="32" t="str">
        <f>"2023070824"</f>
        <v>2023070824</v>
      </c>
      <c r="C52" s="32" t="str">
        <f>"安松"</f>
        <v>安松</v>
      </c>
      <c r="D52" s="32" t="s">
        <v>29</v>
      </c>
      <c r="E52" s="32" t="str">
        <f>"GQ08"</f>
        <v>GQ08</v>
      </c>
      <c r="F52" s="32" t="s">
        <v>27</v>
      </c>
      <c r="G52" s="33">
        <v>73.06</v>
      </c>
      <c r="H52" s="23">
        <f t="shared" si="5"/>
        <v>29.224000000000004</v>
      </c>
      <c r="I52" s="23">
        <v>70.5</v>
      </c>
      <c r="J52" s="23">
        <f t="shared" si="6"/>
        <v>42.3</v>
      </c>
      <c r="K52" s="23">
        <f t="shared" si="7"/>
        <v>71.524</v>
      </c>
      <c r="L52" s="35">
        <v>5</v>
      </c>
      <c r="M52" s="35" t="s">
        <v>21</v>
      </c>
      <c r="N52" s="41"/>
      <c r="O52" s="31"/>
    </row>
    <row r="53" spans="1:15" s="2" customFormat="1" ht="16.5" customHeight="1">
      <c r="A53" s="24">
        <v>50</v>
      </c>
      <c r="B53" s="25" t="str">
        <f>"2023071111"</f>
        <v>2023071111</v>
      </c>
      <c r="C53" s="25" t="str">
        <f>"周冠宇"</f>
        <v>周冠宇</v>
      </c>
      <c r="D53" s="25" t="s">
        <v>29</v>
      </c>
      <c r="E53" s="25" t="str">
        <f aca="true" t="shared" si="9" ref="E53:E62">"GQ09"</f>
        <v>GQ09</v>
      </c>
      <c r="F53" s="25" t="s">
        <v>30</v>
      </c>
      <c r="G53" s="26">
        <v>74.47</v>
      </c>
      <c r="H53" s="27">
        <f t="shared" si="5"/>
        <v>29.788</v>
      </c>
      <c r="I53" s="27">
        <v>72.83</v>
      </c>
      <c r="J53" s="27">
        <f t="shared" si="6"/>
        <v>43.698</v>
      </c>
      <c r="K53" s="27">
        <f t="shared" si="7"/>
        <v>73.486</v>
      </c>
      <c r="L53" s="36">
        <v>1</v>
      </c>
      <c r="M53" s="36" t="s">
        <v>19</v>
      </c>
      <c r="N53" s="25" t="s">
        <v>20</v>
      </c>
      <c r="O53" s="29"/>
    </row>
    <row r="54" spans="1:15" s="2" customFormat="1" ht="16.5" customHeight="1">
      <c r="A54" s="14">
        <v>51</v>
      </c>
      <c r="B54" s="28" t="str">
        <f>"2023071002"</f>
        <v>2023071002</v>
      </c>
      <c r="C54" s="28" t="str">
        <f>"陈旭"</f>
        <v>陈旭</v>
      </c>
      <c r="D54" s="28" t="s">
        <v>29</v>
      </c>
      <c r="E54" s="28" t="str">
        <f t="shared" si="9"/>
        <v>GQ09</v>
      </c>
      <c r="F54" s="28" t="s">
        <v>30</v>
      </c>
      <c r="G54" s="16">
        <v>77.66</v>
      </c>
      <c r="H54" s="17">
        <f t="shared" si="5"/>
        <v>31.064</v>
      </c>
      <c r="I54" s="16">
        <v>70.5</v>
      </c>
      <c r="J54" s="17">
        <f t="shared" si="6"/>
        <v>42.3</v>
      </c>
      <c r="K54" s="17">
        <f t="shared" si="7"/>
        <v>73.364</v>
      </c>
      <c r="L54" s="19">
        <v>2</v>
      </c>
      <c r="M54" s="34" t="s">
        <v>19</v>
      </c>
      <c r="N54" s="28" t="s">
        <v>20</v>
      </c>
      <c r="O54" s="28"/>
    </row>
    <row r="55" spans="1:15" ht="16.5" customHeight="1">
      <c r="A55" s="14">
        <v>52</v>
      </c>
      <c r="B55" s="15" t="str">
        <f>"2023071105"</f>
        <v>2023071105</v>
      </c>
      <c r="C55" s="15" t="str">
        <f>"杨玲"</f>
        <v>杨玲</v>
      </c>
      <c r="D55" s="15" t="s">
        <v>29</v>
      </c>
      <c r="E55" s="15" t="str">
        <f t="shared" si="9"/>
        <v>GQ09</v>
      </c>
      <c r="F55" s="15" t="s">
        <v>30</v>
      </c>
      <c r="G55" s="16">
        <v>76.28</v>
      </c>
      <c r="H55" s="17">
        <f t="shared" si="5"/>
        <v>30.512</v>
      </c>
      <c r="I55" s="17">
        <v>70.5</v>
      </c>
      <c r="J55" s="17">
        <f t="shared" si="6"/>
        <v>42.3</v>
      </c>
      <c r="K55" s="17">
        <f t="shared" si="7"/>
        <v>72.812</v>
      </c>
      <c r="L55" s="34">
        <v>3</v>
      </c>
      <c r="M55" s="34" t="s">
        <v>19</v>
      </c>
      <c r="N55" s="14"/>
      <c r="O55" s="28"/>
    </row>
    <row r="56" spans="1:15" ht="16.5" customHeight="1">
      <c r="A56" s="14">
        <v>53</v>
      </c>
      <c r="B56" s="28" t="str">
        <f>"2023070827"</f>
        <v>2023070827</v>
      </c>
      <c r="C56" s="28" t="str">
        <f>"韩英"</f>
        <v>韩英</v>
      </c>
      <c r="D56" s="28" t="s">
        <v>29</v>
      </c>
      <c r="E56" s="28" t="str">
        <f t="shared" si="9"/>
        <v>GQ09</v>
      </c>
      <c r="F56" s="28" t="s">
        <v>30</v>
      </c>
      <c r="G56" s="16">
        <v>72</v>
      </c>
      <c r="H56" s="17">
        <f t="shared" si="5"/>
        <v>28.8</v>
      </c>
      <c r="I56" s="16">
        <v>72.23</v>
      </c>
      <c r="J56" s="17">
        <f t="shared" si="6"/>
        <v>43.338</v>
      </c>
      <c r="K56" s="17">
        <f t="shared" si="7"/>
        <v>72.138</v>
      </c>
      <c r="L56" s="19">
        <v>4</v>
      </c>
      <c r="M56" s="34" t="s">
        <v>19</v>
      </c>
      <c r="N56" s="37"/>
      <c r="O56" s="28"/>
    </row>
    <row r="57" spans="1:15" ht="16.5" customHeight="1">
      <c r="A57" s="14">
        <v>54</v>
      </c>
      <c r="B57" s="15" t="str">
        <f>"2023070916"</f>
        <v>2023070916</v>
      </c>
      <c r="C57" s="15" t="str">
        <f>"杨红林"</f>
        <v>杨红林</v>
      </c>
      <c r="D57" s="15" t="s">
        <v>29</v>
      </c>
      <c r="E57" s="15" t="str">
        <f t="shared" si="9"/>
        <v>GQ09</v>
      </c>
      <c r="F57" s="15" t="s">
        <v>30</v>
      </c>
      <c r="G57" s="16">
        <v>77.28</v>
      </c>
      <c r="H57" s="17">
        <f t="shared" si="5"/>
        <v>30.912000000000003</v>
      </c>
      <c r="I57" s="17">
        <v>68.67</v>
      </c>
      <c r="J57" s="17">
        <f t="shared" si="6"/>
        <v>41.202</v>
      </c>
      <c r="K57" s="17">
        <f t="shared" si="7"/>
        <v>72.114</v>
      </c>
      <c r="L57" s="34">
        <v>5</v>
      </c>
      <c r="M57" s="34" t="s">
        <v>19</v>
      </c>
      <c r="N57" s="14"/>
      <c r="O57" s="28"/>
    </row>
    <row r="58" spans="1:15" ht="16.5" customHeight="1">
      <c r="A58" s="14">
        <v>55</v>
      </c>
      <c r="B58" s="15" t="str">
        <f>"2023070925"</f>
        <v>2023070925</v>
      </c>
      <c r="C58" s="15" t="str">
        <f>"王元"</f>
        <v>王元</v>
      </c>
      <c r="D58" s="15" t="s">
        <v>29</v>
      </c>
      <c r="E58" s="15" t="str">
        <f t="shared" si="9"/>
        <v>GQ09</v>
      </c>
      <c r="F58" s="15" t="s">
        <v>30</v>
      </c>
      <c r="G58" s="16">
        <v>74.72</v>
      </c>
      <c r="H58" s="17">
        <f t="shared" si="5"/>
        <v>29.888</v>
      </c>
      <c r="I58" s="17">
        <v>69.83</v>
      </c>
      <c r="J58" s="17">
        <f t="shared" si="6"/>
        <v>41.897999999999996</v>
      </c>
      <c r="K58" s="17">
        <f t="shared" si="7"/>
        <v>71.786</v>
      </c>
      <c r="L58" s="34">
        <v>6</v>
      </c>
      <c r="M58" s="34" t="s">
        <v>19</v>
      </c>
      <c r="N58" s="14"/>
      <c r="O58" s="28"/>
    </row>
    <row r="59" spans="1:15" ht="16.5" customHeight="1">
      <c r="A59" s="14">
        <v>56</v>
      </c>
      <c r="B59" s="15" t="str">
        <f>"2023071003"</f>
        <v>2023071003</v>
      </c>
      <c r="C59" s="15" t="str">
        <f>"邓成霖"</f>
        <v>邓成霖</v>
      </c>
      <c r="D59" s="15" t="s">
        <v>29</v>
      </c>
      <c r="E59" s="15" t="str">
        <f t="shared" si="9"/>
        <v>GQ09</v>
      </c>
      <c r="F59" s="15" t="s">
        <v>30</v>
      </c>
      <c r="G59" s="16">
        <v>74.22</v>
      </c>
      <c r="H59" s="17">
        <f t="shared" si="5"/>
        <v>29.688000000000002</v>
      </c>
      <c r="I59" s="17">
        <v>67.83</v>
      </c>
      <c r="J59" s="17">
        <f t="shared" si="6"/>
        <v>40.698</v>
      </c>
      <c r="K59" s="17">
        <f t="shared" si="7"/>
        <v>70.386</v>
      </c>
      <c r="L59" s="34">
        <v>7</v>
      </c>
      <c r="M59" s="34" t="s">
        <v>19</v>
      </c>
      <c r="N59" s="14"/>
      <c r="O59" s="28"/>
    </row>
    <row r="60" spans="1:15" ht="16.5" customHeight="1">
      <c r="A60" s="14">
        <v>57</v>
      </c>
      <c r="B60" s="15" t="str">
        <f>"2023071012"</f>
        <v>2023071012</v>
      </c>
      <c r="C60" s="15" t="str">
        <f>"张秋芳"</f>
        <v>张秋芳</v>
      </c>
      <c r="D60" s="15" t="s">
        <v>29</v>
      </c>
      <c r="E60" s="15" t="str">
        <f t="shared" si="9"/>
        <v>GQ09</v>
      </c>
      <c r="F60" s="15" t="s">
        <v>30</v>
      </c>
      <c r="G60" s="16">
        <v>72.07</v>
      </c>
      <c r="H60" s="17">
        <f t="shared" si="5"/>
        <v>28.828</v>
      </c>
      <c r="I60" s="17">
        <v>69.17</v>
      </c>
      <c r="J60" s="17">
        <f t="shared" si="6"/>
        <v>41.502</v>
      </c>
      <c r="K60" s="17">
        <f t="shared" si="7"/>
        <v>70.33</v>
      </c>
      <c r="L60" s="34">
        <v>8</v>
      </c>
      <c r="M60" s="34" t="s">
        <v>19</v>
      </c>
      <c r="N60" s="14"/>
      <c r="O60" s="28"/>
    </row>
    <row r="61" spans="1:15" ht="16.5" customHeight="1">
      <c r="A61" s="14">
        <v>58</v>
      </c>
      <c r="B61" s="30" t="str">
        <f>"2023071117"</f>
        <v>2023071117</v>
      </c>
      <c r="C61" s="30" t="str">
        <f>"李筑敏"</f>
        <v>李筑敏</v>
      </c>
      <c r="D61" s="30" t="s">
        <v>29</v>
      </c>
      <c r="E61" s="30" t="str">
        <f t="shared" si="9"/>
        <v>GQ09</v>
      </c>
      <c r="F61" s="30" t="s">
        <v>30</v>
      </c>
      <c r="G61" s="19">
        <v>71.62</v>
      </c>
      <c r="H61" s="17">
        <f t="shared" si="5"/>
        <v>28.648000000000003</v>
      </c>
      <c r="I61" s="17">
        <v>68.33</v>
      </c>
      <c r="J61" s="17">
        <f t="shared" si="6"/>
        <v>40.998</v>
      </c>
      <c r="K61" s="17">
        <f t="shared" si="7"/>
        <v>69.646</v>
      </c>
      <c r="L61" s="34">
        <v>9</v>
      </c>
      <c r="M61" s="34" t="s">
        <v>21</v>
      </c>
      <c r="N61" s="39"/>
      <c r="O61" s="28"/>
    </row>
    <row r="62" spans="1:15" s="3" customFormat="1" ht="16.5" customHeight="1">
      <c r="A62" s="20">
        <v>59</v>
      </c>
      <c r="B62" s="21" t="str">
        <f>"2023070905"</f>
        <v>2023070905</v>
      </c>
      <c r="C62" s="21" t="str">
        <f>"杨白灵"</f>
        <v>杨白灵</v>
      </c>
      <c r="D62" s="21" t="s">
        <v>29</v>
      </c>
      <c r="E62" s="21" t="str">
        <f t="shared" si="9"/>
        <v>GQ09</v>
      </c>
      <c r="F62" s="21" t="s">
        <v>30</v>
      </c>
      <c r="G62" s="22">
        <v>72.53</v>
      </c>
      <c r="H62" s="23">
        <f t="shared" si="5"/>
        <v>29.012</v>
      </c>
      <c r="I62" s="23">
        <v>67.07</v>
      </c>
      <c r="J62" s="23">
        <f t="shared" si="6"/>
        <v>40.242</v>
      </c>
      <c r="K62" s="23">
        <f t="shared" si="7"/>
        <v>69.25399999999999</v>
      </c>
      <c r="L62" s="35">
        <v>10</v>
      </c>
      <c r="M62" s="35" t="s">
        <v>19</v>
      </c>
      <c r="N62" s="20"/>
      <c r="O62" s="31"/>
    </row>
    <row r="63" spans="1:15" s="2" customFormat="1" ht="15" customHeight="1">
      <c r="A63" s="24">
        <v>60</v>
      </c>
      <c r="B63" s="29" t="str">
        <f>"2023071313"</f>
        <v>2023071313</v>
      </c>
      <c r="C63" s="29" t="str">
        <f>"廖旭德"</f>
        <v>廖旭德</v>
      </c>
      <c r="D63" s="29" t="s">
        <v>29</v>
      </c>
      <c r="E63" s="29" t="str">
        <f>"GQ10"</f>
        <v>GQ10</v>
      </c>
      <c r="F63" s="29" t="s">
        <v>31</v>
      </c>
      <c r="G63" s="26">
        <v>75.44</v>
      </c>
      <c r="H63" s="27">
        <f t="shared" si="5"/>
        <v>30.176000000000002</v>
      </c>
      <c r="I63" s="26">
        <v>73.83</v>
      </c>
      <c r="J63" s="27">
        <f t="shared" si="6"/>
        <v>44.297999999999995</v>
      </c>
      <c r="K63" s="27">
        <f t="shared" si="7"/>
        <v>74.47399999999999</v>
      </c>
      <c r="L63" s="38">
        <v>1</v>
      </c>
      <c r="M63" s="36" t="s">
        <v>19</v>
      </c>
      <c r="N63" s="29" t="s">
        <v>20</v>
      </c>
      <c r="O63" s="29"/>
    </row>
    <row r="64" spans="1:15" ht="16.5" customHeight="1">
      <c r="A64" s="14">
        <v>61</v>
      </c>
      <c r="B64" s="15" t="str">
        <f>"2023071318"</f>
        <v>2023071318</v>
      </c>
      <c r="C64" s="15" t="str">
        <f>"高俊杰"</f>
        <v>高俊杰</v>
      </c>
      <c r="D64" s="15" t="s">
        <v>29</v>
      </c>
      <c r="E64" s="15" t="str">
        <f>"GQ10"</f>
        <v>GQ10</v>
      </c>
      <c r="F64" s="15" t="s">
        <v>31</v>
      </c>
      <c r="G64" s="16">
        <v>72.75</v>
      </c>
      <c r="H64" s="17">
        <f t="shared" si="5"/>
        <v>29.1</v>
      </c>
      <c r="I64" s="17">
        <v>72.7</v>
      </c>
      <c r="J64" s="17">
        <f t="shared" si="6"/>
        <v>43.62</v>
      </c>
      <c r="K64" s="17">
        <f t="shared" si="7"/>
        <v>72.72</v>
      </c>
      <c r="L64" s="34">
        <v>2</v>
      </c>
      <c r="M64" s="34" t="s">
        <v>19</v>
      </c>
      <c r="N64" s="14"/>
      <c r="O64" s="28"/>
    </row>
    <row r="65" spans="1:15" ht="16.5" customHeight="1">
      <c r="A65" s="14">
        <v>62</v>
      </c>
      <c r="B65" s="30" t="str">
        <f>"2023071324"</f>
        <v>2023071324</v>
      </c>
      <c r="C65" s="30" t="str">
        <f>"杨学顺"</f>
        <v>杨学顺</v>
      </c>
      <c r="D65" s="30" t="s">
        <v>29</v>
      </c>
      <c r="E65" s="30" t="str">
        <f>"GQ10"</f>
        <v>GQ10</v>
      </c>
      <c r="F65" s="30" t="s">
        <v>31</v>
      </c>
      <c r="G65" s="19">
        <v>71.85</v>
      </c>
      <c r="H65" s="17">
        <f t="shared" si="5"/>
        <v>28.74</v>
      </c>
      <c r="I65" s="17">
        <v>70.33</v>
      </c>
      <c r="J65" s="17">
        <f t="shared" si="6"/>
        <v>42.198</v>
      </c>
      <c r="K65" s="17">
        <f t="shared" si="7"/>
        <v>70.938</v>
      </c>
      <c r="L65" s="34">
        <v>3</v>
      </c>
      <c r="M65" s="34" t="s">
        <v>21</v>
      </c>
      <c r="N65" s="39"/>
      <c r="O65" s="28"/>
    </row>
    <row r="66" spans="1:15" ht="16.5" customHeight="1">
      <c r="A66" s="14">
        <v>63</v>
      </c>
      <c r="B66" s="15" t="str">
        <f>"2023071328"</f>
        <v>2023071328</v>
      </c>
      <c r="C66" s="15" t="str">
        <f>"张懿"</f>
        <v>张懿</v>
      </c>
      <c r="D66" s="15" t="s">
        <v>29</v>
      </c>
      <c r="E66" s="15" t="str">
        <f>"GQ10"</f>
        <v>GQ10</v>
      </c>
      <c r="F66" s="15" t="s">
        <v>31</v>
      </c>
      <c r="G66" s="16">
        <v>72.85</v>
      </c>
      <c r="H66" s="17">
        <f t="shared" si="5"/>
        <v>29.14</v>
      </c>
      <c r="I66" s="17">
        <v>69.57</v>
      </c>
      <c r="J66" s="17">
        <f t="shared" si="6"/>
        <v>41.742</v>
      </c>
      <c r="K66" s="17">
        <f t="shared" si="7"/>
        <v>70.882</v>
      </c>
      <c r="L66" s="34">
        <v>4</v>
      </c>
      <c r="M66" s="34" t="s">
        <v>19</v>
      </c>
      <c r="N66" s="14"/>
      <c r="O66" s="28"/>
    </row>
    <row r="67" spans="1:15" s="3" customFormat="1" ht="16.5" customHeight="1">
      <c r="A67" s="20">
        <v>64</v>
      </c>
      <c r="B67" s="21" t="str">
        <f>"2023071203"</f>
        <v>2023071203</v>
      </c>
      <c r="C67" s="21" t="str">
        <f>"王国智"</f>
        <v>王国智</v>
      </c>
      <c r="D67" s="21" t="s">
        <v>29</v>
      </c>
      <c r="E67" s="21" t="str">
        <f>"GQ10"</f>
        <v>GQ10</v>
      </c>
      <c r="F67" s="21" t="s">
        <v>31</v>
      </c>
      <c r="G67" s="22">
        <v>71.96</v>
      </c>
      <c r="H67" s="23">
        <f t="shared" si="5"/>
        <v>28.784</v>
      </c>
      <c r="I67" s="23">
        <v>68</v>
      </c>
      <c r="J67" s="23">
        <f t="shared" si="6"/>
        <v>40.8</v>
      </c>
      <c r="K67" s="23">
        <f t="shared" si="7"/>
        <v>69.584</v>
      </c>
      <c r="L67" s="35">
        <v>5</v>
      </c>
      <c r="M67" s="35" t="s">
        <v>19</v>
      </c>
      <c r="N67" s="20"/>
      <c r="O67" s="31"/>
    </row>
    <row r="68" spans="1:15" s="2" customFormat="1" ht="16.5" customHeight="1">
      <c r="A68" s="24">
        <v>65</v>
      </c>
      <c r="B68" s="29" t="str">
        <f>"2023071420"</f>
        <v>2023071420</v>
      </c>
      <c r="C68" s="29" t="str">
        <f>"罗梦晴"</f>
        <v>罗梦晴</v>
      </c>
      <c r="D68" s="29" t="s">
        <v>32</v>
      </c>
      <c r="E68" s="29" t="str">
        <f>"GQ11"</f>
        <v>GQ11</v>
      </c>
      <c r="F68" s="29" t="s">
        <v>33</v>
      </c>
      <c r="G68" s="26">
        <v>73.09</v>
      </c>
      <c r="H68" s="27">
        <f t="shared" si="5"/>
        <v>29.236000000000004</v>
      </c>
      <c r="I68" s="26">
        <v>76.53</v>
      </c>
      <c r="J68" s="27">
        <f t="shared" si="6"/>
        <v>45.918</v>
      </c>
      <c r="K68" s="27">
        <f t="shared" si="7"/>
        <v>75.154</v>
      </c>
      <c r="L68" s="38">
        <v>1</v>
      </c>
      <c r="M68" s="36" t="s">
        <v>19</v>
      </c>
      <c r="N68" s="29" t="s">
        <v>20</v>
      </c>
      <c r="O68" s="29"/>
    </row>
    <row r="69" spans="1:15" ht="16.5" customHeight="1">
      <c r="A69" s="14">
        <v>66</v>
      </c>
      <c r="B69" s="31" t="str">
        <f>"2023071417"</f>
        <v>2023071417</v>
      </c>
      <c r="C69" s="31" t="str">
        <f>"姜浩"</f>
        <v>姜浩</v>
      </c>
      <c r="D69" s="31" t="s">
        <v>32</v>
      </c>
      <c r="E69" s="31" t="str">
        <f>"GQ11"</f>
        <v>GQ11</v>
      </c>
      <c r="F69" s="31" t="s">
        <v>33</v>
      </c>
      <c r="G69" s="22">
        <v>75</v>
      </c>
      <c r="H69" s="23">
        <f t="shared" si="5"/>
        <v>30</v>
      </c>
      <c r="I69" s="22">
        <v>74.83</v>
      </c>
      <c r="J69" s="23">
        <f t="shared" si="6"/>
        <v>44.897999999999996</v>
      </c>
      <c r="K69" s="23">
        <f t="shared" si="7"/>
        <v>74.898</v>
      </c>
      <c r="L69" s="33">
        <v>2</v>
      </c>
      <c r="M69" s="35" t="s">
        <v>19</v>
      </c>
      <c r="N69" s="40"/>
      <c r="O69" s="31"/>
    </row>
    <row r="70" spans="1:15" s="2" customFormat="1" ht="16.5" customHeight="1">
      <c r="A70" s="14">
        <v>67</v>
      </c>
      <c r="B70" s="25" t="str">
        <f>"2023071512"</f>
        <v>2023071512</v>
      </c>
      <c r="C70" s="25" t="str">
        <f>"毛万洋"</f>
        <v>毛万洋</v>
      </c>
      <c r="D70" s="25" t="s">
        <v>32</v>
      </c>
      <c r="E70" s="25" t="str">
        <f aca="true" t="shared" si="10" ref="E70:E79">"GQ13"</f>
        <v>GQ13</v>
      </c>
      <c r="F70" s="25" t="s">
        <v>34</v>
      </c>
      <c r="G70" s="26">
        <v>70.28</v>
      </c>
      <c r="H70" s="27">
        <f t="shared" si="5"/>
        <v>28.112000000000002</v>
      </c>
      <c r="I70" s="27">
        <v>79.33</v>
      </c>
      <c r="J70" s="27">
        <f t="shared" si="6"/>
        <v>47.598</v>
      </c>
      <c r="K70" s="27">
        <f t="shared" si="7"/>
        <v>75.71000000000001</v>
      </c>
      <c r="L70" s="36">
        <v>1</v>
      </c>
      <c r="M70" s="36" t="s">
        <v>19</v>
      </c>
      <c r="N70" s="25" t="s">
        <v>20</v>
      </c>
      <c r="O70" s="29"/>
    </row>
    <row r="71" spans="1:15" s="2" customFormat="1" ht="16.5" customHeight="1">
      <c r="A71" s="14">
        <v>68</v>
      </c>
      <c r="B71" s="15" t="str">
        <f>"2023071502"</f>
        <v>2023071502</v>
      </c>
      <c r="C71" s="15" t="str">
        <f>"曾江伟"</f>
        <v>曾江伟</v>
      </c>
      <c r="D71" s="15" t="s">
        <v>32</v>
      </c>
      <c r="E71" s="15" t="str">
        <f t="shared" si="10"/>
        <v>GQ13</v>
      </c>
      <c r="F71" s="15" t="s">
        <v>34</v>
      </c>
      <c r="G71" s="16">
        <v>72.97</v>
      </c>
      <c r="H71" s="17">
        <f t="shared" si="5"/>
        <v>29.188000000000002</v>
      </c>
      <c r="I71" s="17">
        <v>76.27</v>
      </c>
      <c r="J71" s="17">
        <f t="shared" si="6"/>
        <v>45.76199999999999</v>
      </c>
      <c r="K71" s="17">
        <f t="shared" si="7"/>
        <v>74.94999999999999</v>
      </c>
      <c r="L71" s="34">
        <v>2</v>
      </c>
      <c r="M71" s="34" t="s">
        <v>19</v>
      </c>
      <c r="N71" s="15" t="s">
        <v>20</v>
      </c>
      <c r="O71" s="28"/>
    </row>
    <row r="72" spans="1:15" ht="16.5" customHeight="1">
      <c r="A72" s="14">
        <v>69</v>
      </c>
      <c r="B72" s="28" t="str">
        <f>"2023071511"</f>
        <v>2023071511</v>
      </c>
      <c r="C72" s="28" t="str">
        <f>"冉红武"</f>
        <v>冉红武</v>
      </c>
      <c r="D72" s="28" t="s">
        <v>32</v>
      </c>
      <c r="E72" s="28" t="str">
        <f t="shared" si="10"/>
        <v>GQ13</v>
      </c>
      <c r="F72" s="28" t="s">
        <v>34</v>
      </c>
      <c r="G72" s="16">
        <v>78.72</v>
      </c>
      <c r="H72" s="17">
        <f t="shared" si="5"/>
        <v>31.488</v>
      </c>
      <c r="I72" s="16">
        <v>71.57</v>
      </c>
      <c r="J72" s="17">
        <f t="shared" si="6"/>
        <v>42.94199999999999</v>
      </c>
      <c r="K72" s="17">
        <f t="shared" si="7"/>
        <v>74.42999999999999</v>
      </c>
      <c r="L72" s="19">
        <v>3</v>
      </c>
      <c r="M72" s="34" t="s">
        <v>19</v>
      </c>
      <c r="N72" s="37"/>
      <c r="O72" s="28"/>
    </row>
    <row r="73" spans="1:15" ht="16.5" customHeight="1">
      <c r="A73" s="14">
        <v>70</v>
      </c>
      <c r="B73" s="15" t="str">
        <f>"2023071501"</f>
        <v>2023071501</v>
      </c>
      <c r="C73" s="15" t="str">
        <f>"田茂超"</f>
        <v>田茂超</v>
      </c>
      <c r="D73" s="15" t="s">
        <v>32</v>
      </c>
      <c r="E73" s="15" t="str">
        <f t="shared" si="10"/>
        <v>GQ13</v>
      </c>
      <c r="F73" s="15" t="s">
        <v>34</v>
      </c>
      <c r="G73" s="16">
        <v>73.75</v>
      </c>
      <c r="H73" s="17">
        <f t="shared" si="5"/>
        <v>29.5</v>
      </c>
      <c r="I73" s="17">
        <v>73.4</v>
      </c>
      <c r="J73" s="17">
        <f t="shared" si="6"/>
        <v>44.04</v>
      </c>
      <c r="K73" s="17">
        <f t="shared" si="7"/>
        <v>73.53999999999999</v>
      </c>
      <c r="L73" s="34">
        <v>4</v>
      </c>
      <c r="M73" s="34" t="s">
        <v>19</v>
      </c>
      <c r="N73" s="14"/>
      <c r="O73" s="28"/>
    </row>
    <row r="74" spans="1:15" ht="16.5" customHeight="1">
      <c r="A74" s="14">
        <v>71</v>
      </c>
      <c r="B74" s="15" t="str">
        <f>"2023071506"</f>
        <v>2023071506</v>
      </c>
      <c r="C74" s="15" t="str">
        <f>"任弘熙"</f>
        <v>任弘熙</v>
      </c>
      <c r="D74" s="15" t="s">
        <v>32</v>
      </c>
      <c r="E74" s="15" t="str">
        <f t="shared" si="10"/>
        <v>GQ13</v>
      </c>
      <c r="F74" s="15" t="s">
        <v>34</v>
      </c>
      <c r="G74" s="16">
        <v>70.29</v>
      </c>
      <c r="H74" s="17">
        <f t="shared" si="5"/>
        <v>28.116000000000003</v>
      </c>
      <c r="I74" s="17">
        <v>73.87</v>
      </c>
      <c r="J74" s="17">
        <f t="shared" si="6"/>
        <v>44.322</v>
      </c>
      <c r="K74" s="17">
        <f t="shared" si="7"/>
        <v>72.438</v>
      </c>
      <c r="L74" s="34">
        <v>5</v>
      </c>
      <c r="M74" s="34" t="s">
        <v>19</v>
      </c>
      <c r="N74" s="14"/>
      <c r="O74" s="28"/>
    </row>
    <row r="75" spans="1:15" ht="16.5" customHeight="1">
      <c r="A75" s="14">
        <v>72</v>
      </c>
      <c r="B75" s="30" t="str">
        <f>"2023071428"</f>
        <v>2023071428</v>
      </c>
      <c r="C75" s="30" t="str">
        <f>"田宏法"</f>
        <v>田宏法</v>
      </c>
      <c r="D75" s="30" t="s">
        <v>32</v>
      </c>
      <c r="E75" s="30" t="str">
        <f t="shared" si="10"/>
        <v>GQ13</v>
      </c>
      <c r="F75" s="30" t="s">
        <v>34</v>
      </c>
      <c r="G75" s="19">
        <v>65.94</v>
      </c>
      <c r="H75" s="17">
        <f t="shared" si="5"/>
        <v>26.376</v>
      </c>
      <c r="I75" s="17">
        <v>75.6</v>
      </c>
      <c r="J75" s="17">
        <f t="shared" si="6"/>
        <v>45.35999999999999</v>
      </c>
      <c r="K75" s="17">
        <f t="shared" si="7"/>
        <v>71.73599999999999</v>
      </c>
      <c r="L75" s="34">
        <v>6</v>
      </c>
      <c r="M75" s="34" t="s">
        <v>21</v>
      </c>
      <c r="N75" s="39"/>
      <c r="O75" s="28"/>
    </row>
    <row r="76" spans="1:15" ht="16.5" customHeight="1">
      <c r="A76" s="14">
        <v>73</v>
      </c>
      <c r="B76" s="15" t="str">
        <f>"2023071515"</f>
        <v>2023071515</v>
      </c>
      <c r="C76" s="15" t="str">
        <f>"田智学"</f>
        <v>田智学</v>
      </c>
      <c r="D76" s="15" t="s">
        <v>32</v>
      </c>
      <c r="E76" s="15" t="str">
        <f t="shared" si="10"/>
        <v>GQ13</v>
      </c>
      <c r="F76" s="15" t="s">
        <v>34</v>
      </c>
      <c r="G76" s="16">
        <v>69</v>
      </c>
      <c r="H76" s="17">
        <f t="shared" si="5"/>
        <v>27.6</v>
      </c>
      <c r="I76" s="17">
        <v>73.07</v>
      </c>
      <c r="J76" s="17">
        <f t="shared" si="6"/>
        <v>43.84199999999999</v>
      </c>
      <c r="K76" s="17">
        <f t="shared" si="7"/>
        <v>71.442</v>
      </c>
      <c r="L76" s="34">
        <v>7</v>
      </c>
      <c r="M76" s="34" t="s">
        <v>19</v>
      </c>
      <c r="N76" s="14"/>
      <c r="O76" s="28"/>
    </row>
    <row r="77" spans="1:15" ht="16.5" customHeight="1">
      <c r="A77" s="14">
        <v>74</v>
      </c>
      <c r="B77" s="30" t="str">
        <f>"2023071423"</f>
        <v>2023071423</v>
      </c>
      <c r="C77" s="30" t="str">
        <f>"王灿"</f>
        <v>王灿</v>
      </c>
      <c r="D77" s="30" t="s">
        <v>32</v>
      </c>
      <c r="E77" s="30" t="str">
        <f t="shared" si="10"/>
        <v>GQ13</v>
      </c>
      <c r="F77" s="30" t="s">
        <v>34</v>
      </c>
      <c r="G77" s="19">
        <v>64.53</v>
      </c>
      <c r="H77" s="17">
        <f t="shared" si="5"/>
        <v>25.812</v>
      </c>
      <c r="I77" s="17">
        <v>76</v>
      </c>
      <c r="J77" s="17">
        <f t="shared" si="6"/>
        <v>45.6</v>
      </c>
      <c r="K77" s="17">
        <f t="shared" si="7"/>
        <v>71.412</v>
      </c>
      <c r="L77" s="34">
        <v>8</v>
      </c>
      <c r="M77" s="34" t="s">
        <v>21</v>
      </c>
      <c r="N77" s="39"/>
      <c r="O77" s="28"/>
    </row>
    <row r="78" spans="1:15" s="3" customFormat="1" ht="16.5" customHeight="1">
      <c r="A78" s="14">
        <v>75</v>
      </c>
      <c r="B78" s="15" t="str">
        <f>"2023071514"</f>
        <v>2023071514</v>
      </c>
      <c r="C78" s="15" t="str">
        <f>"杨宇"</f>
        <v>杨宇</v>
      </c>
      <c r="D78" s="15" t="s">
        <v>32</v>
      </c>
      <c r="E78" s="15" t="str">
        <f t="shared" si="10"/>
        <v>GQ13</v>
      </c>
      <c r="F78" s="15" t="s">
        <v>34</v>
      </c>
      <c r="G78" s="16">
        <v>68.13</v>
      </c>
      <c r="H78" s="17">
        <f aca="true" t="shared" si="11" ref="H78:H91">G78*0.4</f>
        <v>27.252</v>
      </c>
      <c r="I78" s="17">
        <v>70.07</v>
      </c>
      <c r="J78" s="17">
        <f aca="true" t="shared" si="12" ref="J78:J91">I78*0.6</f>
        <v>42.041999999999994</v>
      </c>
      <c r="K78" s="17">
        <f aca="true" t="shared" si="13" ref="K78:K91">H78+J78</f>
        <v>69.294</v>
      </c>
      <c r="L78" s="34">
        <v>9</v>
      </c>
      <c r="M78" s="34" t="s">
        <v>19</v>
      </c>
      <c r="N78" s="14"/>
      <c r="O78" s="28"/>
    </row>
    <row r="79" spans="1:15" s="3" customFormat="1" ht="16.5" customHeight="1">
      <c r="A79" s="20">
        <v>76</v>
      </c>
      <c r="B79" s="21" t="str">
        <f>"2023071504"</f>
        <v>2023071504</v>
      </c>
      <c r="C79" s="21" t="str">
        <f>"杨博"</f>
        <v>杨博</v>
      </c>
      <c r="D79" s="21" t="s">
        <v>32</v>
      </c>
      <c r="E79" s="21" t="str">
        <f t="shared" si="10"/>
        <v>GQ13</v>
      </c>
      <c r="F79" s="21" t="s">
        <v>34</v>
      </c>
      <c r="G79" s="22">
        <v>73.82</v>
      </c>
      <c r="H79" s="23">
        <f t="shared" si="11"/>
        <v>29.528</v>
      </c>
      <c r="I79" s="23">
        <v>0</v>
      </c>
      <c r="J79" s="23">
        <f t="shared" si="12"/>
        <v>0</v>
      </c>
      <c r="K79" s="23">
        <f t="shared" si="13"/>
        <v>29.528</v>
      </c>
      <c r="L79" s="35">
        <v>10</v>
      </c>
      <c r="M79" s="35" t="s">
        <v>19</v>
      </c>
      <c r="N79" s="20"/>
      <c r="O79" s="31" t="s">
        <v>25</v>
      </c>
    </row>
    <row r="80" spans="1:15" s="2" customFormat="1" ht="16.5" customHeight="1">
      <c r="A80" s="24">
        <v>77</v>
      </c>
      <c r="B80" s="29" t="str">
        <f>"2023071528"</f>
        <v>2023071528</v>
      </c>
      <c r="C80" s="29" t="str">
        <f>"熊忠林"</f>
        <v>熊忠林</v>
      </c>
      <c r="D80" s="29" t="s">
        <v>32</v>
      </c>
      <c r="E80" s="29" t="str">
        <f>"GQ14"</f>
        <v>GQ14</v>
      </c>
      <c r="F80" s="29" t="s">
        <v>35</v>
      </c>
      <c r="G80" s="26">
        <v>72.56</v>
      </c>
      <c r="H80" s="27">
        <f t="shared" si="11"/>
        <v>29.024</v>
      </c>
      <c r="I80" s="26">
        <v>79.6</v>
      </c>
      <c r="J80" s="27">
        <f t="shared" si="12"/>
        <v>47.76</v>
      </c>
      <c r="K80" s="27">
        <f t="shared" si="13"/>
        <v>76.78399999999999</v>
      </c>
      <c r="L80" s="38">
        <v>1</v>
      </c>
      <c r="M80" s="36" t="s">
        <v>19</v>
      </c>
      <c r="N80" s="29" t="s">
        <v>20</v>
      </c>
      <c r="O80" s="29"/>
    </row>
    <row r="81" spans="1:15" ht="16.5" customHeight="1">
      <c r="A81" s="14">
        <v>78</v>
      </c>
      <c r="B81" s="28" t="str">
        <f>"2023071601"</f>
        <v>2023071601</v>
      </c>
      <c r="C81" s="28" t="str">
        <f>"杨皓岩"</f>
        <v>杨皓岩</v>
      </c>
      <c r="D81" s="28" t="s">
        <v>32</v>
      </c>
      <c r="E81" s="28" t="str">
        <f>"GQ14"</f>
        <v>GQ14</v>
      </c>
      <c r="F81" s="28" t="s">
        <v>35</v>
      </c>
      <c r="G81" s="16">
        <v>65.12</v>
      </c>
      <c r="H81" s="17">
        <f t="shared" si="11"/>
        <v>26.048000000000002</v>
      </c>
      <c r="I81" s="16">
        <v>81.23</v>
      </c>
      <c r="J81" s="17">
        <f t="shared" si="12"/>
        <v>48.738</v>
      </c>
      <c r="K81" s="17">
        <f t="shared" si="13"/>
        <v>74.786</v>
      </c>
      <c r="L81" s="19">
        <v>2</v>
      </c>
      <c r="M81" s="34" t="s">
        <v>19</v>
      </c>
      <c r="N81" s="37"/>
      <c r="O81" s="28"/>
    </row>
    <row r="82" spans="1:15" ht="16.5" customHeight="1">
      <c r="A82" s="14">
        <v>79</v>
      </c>
      <c r="B82" s="15" t="str">
        <f>"2023071522"</f>
        <v>2023071522</v>
      </c>
      <c r="C82" s="15" t="str">
        <f>"谢大钊"</f>
        <v>谢大钊</v>
      </c>
      <c r="D82" s="15" t="s">
        <v>32</v>
      </c>
      <c r="E82" s="15" t="str">
        <f>"GQ14"</f>
        <v>GQ14</v>
      </c>
      <c r="F82" s="15" t="s">
        <v>35</v>
      </c>
      <c r="G82" s="16">
        <v>71.72</v>
      </c>
      <c r="H82" s="17">
        <f t="shared" si="11"/>
        <v>28.688000000000002</v>
      </c>
      <c r="I82" s="17">
        <v>72.43</v>
      </c>
      <c r="J82" s="17">
        <f t="shared" si="12"/>
        <v>43.458000000000006</v>
      </c>
      <c r="K82" s="17">
        <f t="shared" si="13"/>
        <v>72.14600000000002</v>
      </c>
      <c r="L82" s="34">
        <v>3</v>
      </c>
      <c r="M82" s="34" t="s">
        <v>19</v>
      </c>
      <c r="N82" s="14"/>
      <c r="O82" s="28"/>
    </row>
    <row r="83" spans="1:15" ht="16.5" customHeight="1">
      <c r="A83" s="14">
        <v>80</v>
      </c>
      <c r="B83" s="15" t="str">
        <f>"2023071523"</f>
        <v>2023071523</v>
      </c>
      <c r="C83" s="15" t="str">
        <f>"罗锐"</f>
        <v>罗锐</v>
      </c>
      <c r="D83" s="15" t="s">
        <v>32</v>
      </c>
      <c r="E83" s="15" t="str">
        <f>"GQ14"</f>
        <v>GQ14</v>
      </c>
      <c r="F83" s="15" t="s">
        <v>35</v>
      </c>
      <c r="G83" s="16">
        <v>65.56</v>
      </c>
      <c r="H83" s="17">
        <f t="shared" si="11"/>
        <v>26.224000000000004</v>
      </c>
      <c r="I83" s="17">
        <v>72.43</v>
      </c>
      <c r="J83" s="17">
        <f t="shared" si="12"/>
        <v>43.458000000000006</v>
      </c>
      <c r="K83" s="17">
        <f t="shared" si="13"/>
        <v>69.68200000000002</v>
      </c>
      <c r="L83" s="34">
        <v>4</v>
      </c>
      <c r="M83" s="34" t="s">
        <v>19</v>
      </c>
      <c r="N83" s="14"/>
      <c r="O83" s="28"/>
    </row>
    <row r="84" spans="1:15" ht="16.5" customHeight="1">
      <c r="A84" s="20">
        <v>81</v>
      </c>
      <c r="B84" s="21" t="str">
        <f>"2023071527"</f>
        <v>2023071527</v>
      </c>
      <c r="C84" s="21" t="str">
        <f>"张胜军"</f>
        <v>张胜军</v>
      </c>
      <c r="D84" s="21" t="s">
        <v>32</v>
      </c>
      <c r="E84" s="21" t="str">
        <f>"GQ14"</f>
        <v>GQ14</v>
      </c>
      <c r="F84" s="21" t="s">
        <v>35</v>
      </c>
      <c r="G84" s="22">
        <v>63.62</v>
      </c>
      <c r="H84" s="23">
        <f t="shared" si="11"/>
        <v>25.448</v>
      </c>
      <c r="I84" s="23">
        <v>71.8</v>
      </c>
      <c r="J84" s="23">
        <f t="shared" si="12"/>
        <v>43.08</v>
      </c>
      <c r="K84" s="23">
        <f t="shared" si="13"/>
        <v>68.52799999999999</v>
      </c>
      <c r="L84" s="35">
        <v>5</v>
      </c>
      <c r="M84" s="35" t="s">
        <v>19</v>
      </c>
      <c r="N84" s="20"/>
      <c r="O84" s="31"/>
    </row>
    <row r="85" spans="1:15" s="2" customFormat="1" ht="16.5" customHeight="1">
      <c r="A85" s="24">
        <v>82</v>
      </c>
      <c r="B85" s="29" t="str">
        <f>"2023071613"</f>
        <v>2023071613</v>
      </c>
      <c r="C85" s="29" t="str">
        <f>"任律达"</f>
        <v>任律达</v>
      </c>
      <c r="D85" s="29" t="s">
        <v>32</v>
      </c>
      <c r="E85" s="29" t="str">
        <f>"GQ15"</f>
        <v>GQ15</v>
      </c>
      <c r="F85" s="29" t="s">
        <v>36</v>
      </c>
      <c r="G85" s="26">
        <v>68.94</v>
      </c>
      <c r="H85" s="27">
        <f t="shared" si="11"/>
        <v>27.576</v>
      </c>
      <c r="I85" s="26">
        <v>73.5</v>
      </c>
      <c r="J85" s="27">
        <f t="shared" si="12"/>
        <v>44.1</v>
      </c>
      <c r="K85" s="27">
        <f t="shared" si="13"/>
        <v>71.676</v>
      </c>
      <c r="L85" s="38">
        <v>1</v>
      </c>
      <c r="M85" s="36" t="s">
        <v>19</v>
      </c>
      <c r="N85" s="29" t="s">
        <v>20</v>
      </c>
      <c r="O85" s="29"/>
    </row>
    <row r="86" spans="1:15" ht="16.5" customHeight="1">
      <c r="A86" s="14">
        <v>83</v>
      </c>
      <c r="B86" s="15" t="str">
        <f>"2023071618"</f>
        <v>2023071618</v>
      </c>
      <c r="C86" s="15" t="str">
        <f>"刘宇宸"</f>
        <v>刘宇宸</v>
      </c>
      <c r="D86" s="15" t="s">
        <v>32</v>
      </c>
      <c r="E86" s="15" t="str">
        <f>"GQ15"</f>
        <v>GQ15</v>
      </c>
      <c r="F86" s="28" t="s">
        <v>36</v>
      </c>
      <c r="G86" s="16">
        <v>65.82</v>
      </c>
      <c r="H86" s="17">
        <f t="shared" si="11"/>
        <v>26.328</v>
      </c>
      <c r="I86" s="17">
        <v>73</v>
      </c>
      <c r="J86" s="17">
        <f t="shared" si="12"/>
        <v>43.8</v>
      </c>
      <c r="K86" s="17">
        <f t="shared" si="13"/>
        <v>70.128</v>
      </c>
      <c r="L86" s="34">
        <v>2</v>
      </c>
      <c r="M86" s="34" t="s">
        <v>19</v>
      </c>
      <c r="N86" s="14"/>
      <c r="O86" s="28"/>
    </row>
    <row r="87" spans="1:15" s="3" customFormat="1" ht="16.5" customHeight="1">
      <c r="A87" s="14">
        <v>84</v>
      </c>
      <c r="B87" s="30" t="str">
        <f>"2023071612"</f>
        <v>2023071612</v>
      </c>
      <c r="C87" s="30" t="str">
        <f>"任林强"</f>
        <v>任林强</v>
      </c>
      <c r="D87" s="30" t="s">
        <v>32</v>
      </c>
      <c r="E87" s="30" t="str">
        <f>"GQ15"</f>
        <v>GQ15</v>
      </c>
      <c r="F87" s="18" t="s">
        <v>36</v>
      </c>
      <c r="G87" s="16">
        <v>66.35</v>
      </c>
      <c r="H87" s="17">
        <f t="shared" si="11"/>
        <v>26.54</v>
      </c>
      <c r="I87" s="17">
        <v>71.3</v>
      </c>
      <c r="J87" s="17">
        <f t="shared" si="12"/>
        <v>42.779999999999994</v>
      </c>
      <c r="K87" s="17">
        <f t="shared" si="13"/>
        <v>69.32</v>
      </c>
      <c r="L87" s="34">
        <v>3</v>
      </c>
      <c r="M87" s="34" t="s">
        <v>19</v>
      </c>
      <c r="N87" s="39"/>
      <c r="O87" s="28"/>
    </row>
    <row r="88" spans="1:15" ht="16.5" customHeight="1">
      <c r="A88" s="14">
        <v>85</v>
      </c>
      <c r="B88" s="15" t="str">
        <f>"2023071604"</f>
        <v>2023071604</v>
      </c>
      <c r="C88" s="15" t="str">
        <f>"冉鲁"</f>
        <v>冉鲁</v>
      </c>
      <c r="D88" s="15" t="s">
        <v>32</v>
      </c>
      <c r="E88" s="15" t="str">
        <f>"GQ15"</f>
        <v>GQ15</v>
      </c>
      <c r="F88" s="28" t="s">
        <v>36</v>
      </c>
      <c r="G88" s="16">
        <v>67.35</v>
      </c>
      <c r="H88" s="17">
        <f t="shared" si="11"/>
        <v>26.939999999999998</v>
      </c>
      <c r="I88" s="17">
        <v>70.43</v>
      </c>
      <c r="J88" s="17">
        <f t="shared" si="12"/>
        <v>42.258</v>
      </c>
      <c r="K88" s="17">
        <f t="shared" si="13"/>
        <v>69.19800000000001</v>
      </c>
      <c r="L88" s="34">
        <v>4</v>
      </c>
      <c r="M88" s="34" t="s">
        <v>19</v>
      </c>
      <c r="N88" s="14"/>
      <c r="O88" s="28"/>
    </row>
    <row r="89" spans="1:15" s="3" customFormat="1" ht="16.5" customHeight="1">
      <c r="A89" s="20">
        <v>86</v>
      </c>
      <c r="B89" s="42" t="str">
        <f>"2023071602"</f>
        <v>2023071602</v>
      </c>
      <c r="C89" s="42" t="str">
        <f>"吴春凤"</f>
        <v>吴春凤</v>
      </c>
      <c r="D89" s="42" t="s">
        <v>32</v>
      </c>
      <c r="E89" s="42" t="str">
        <f>"GQ15"</f>
        <v>GQ15</v>
      </c>
      <c r="F89" s="42" t="s">
        <v>36</v>
      </c>
      <c r="G89" s="22">
        <v>63.66</v>
      </c>
      <c r="H89" s="23">
        <f t="shared" si="11"/>
        <v>25.464</v>
      </c>
      <c r="I89" s="22">
        <v>0</v>
      </c>
      <c r="J89" s="23">
        <f t="shared" si="12"/>
        <v>0</v>
      </c>
      <c r="K89" s="23">
        <f t="shared" si="13"/>
        <v>25.464</v>
      </c>
      <c r="L89" s="33">
        <v>5</v>
      </c>
      <c r="M89" s="35" t="s">
        <v>19</v>
      </c>
      <c r="N89" s="43"/>
      <c r="O89" s="31" t="s">
        <v>25</v>
      </c>
    </row>
    <row r="90" spans="1:15" s="2" customFormat="1" ht="16.5" customHeight="1">
      <c r="A90" s="24">
        <v>87</v>
      </c>
      <c r="B90" s="29" t="str">
        <f>"2023071625"</f>
        <v>2023071625</v>
      </c>
      <c r="C90" s="29" t="str">
        <f>"吴和梅"</f>
        <v>吴和梅</v>
      </c>
      <c r="D90" s="29" t="s">
        <v>32</v>
      </c>
      <c r="E90" s="29" t="str">
        <f>"GQ16"</f>
        <v>GQ16</v>
      </c>
      <c r="F90" s="29" t="s">
        <v>37</v>
      </c>
      <c r="G90" s="26">
        <v>67.98</v>
      </c>
      <c r="H90" s="27">
        <f t="shared" si="11"/>
        <v>27.192000000000004</v>
      </c>
      <c r="I90" s="26">
        <v>75.4</v>
      </c>
      <c r="J90" s="27">
        <f t="shared" si="12"/>
        <v>45.24</v>
      </c>
      <c r="K90" s="27">
        <f t="shared" si="13"/>
        <v>72.432</v>
      </c>
      <c r="L90" s="38">
        <v>1</v>
      </c>
      <c r="M90" s="36" t="s">
        <v>19</v>
      </c>
      <c r="N90" s="29" t="s">
        <v>20</v>
      </c>
      <c r="O90" s="29"/>
    </row>
    <row r="91" spans="1:15" ht="16.5" customHeight="1">
      <c r="A91" s="14">
        <v>88</v>
      </c>
      <c r="B91" s="15" t="str">
        <f>"2023071624"</f>
        <v>2023071624</v>
      </c>
      <c r="C91" s="15" t="str">
        <f>"吴丹"</f>
        <v>吴丹</v>
      </c>
      <c r="D91" s="15" t="s">
        <v>32</v>
      </c>
      <c r="E91" s="15" t="str">
        <f>"GQ16"</f>
        <v>GQ16</v>
      </c>
      <c r="F91" s="15" t="s">
        <v>37</v>
      </c>
      <c r="G91" s="16">
        <v>36.56</v>
      </c>
      <c r="H91" s="17">
        <f t="shared" si="11"/>
        <v>14.624000000000002</v>
      </c>
      <c r="I91" s="17">
        <v>71.2</v>
      </c>
      <c r="J91" s="17">
        <f t="shared" si="12"/>
        <v>42.72</v>
      </c>
      <c r="K91" s="17">
        <f t="shared" si="13"/>
        <v>57.344</v>
      </c>
      <c r="L91" s="34">
        <v>2</v>
      </c>
      <c r="M91" s="34" t="s">
        <v>19</v>
      </c>
      <c r="N91" s="14"/>
      <c r="O91" s="14"/>
    </row>
  </sheetData>
  <sheetProtection/>
  <mergeCells count="1">
    <mergeCell ref="A2:O2"/>
  </mergeCells>
  <printOptions horizontalCentered="1"/>
  <pageMargins left="0.3541666666666667" right="0.2361111111111111" top="0.3541666666666667" bottom="0.5902777777777778" header="0.2986111111111111" footer="0.2986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清风逸柳</cp:lastModifiedBy>
  <dcterms:created xsi:type="dcterms:W3CDTF">2023-07-18T01:48:20Z</dcterms:created>
  <dcterms:modified xsi:type="dcterms:W3CDTF">2023-08-08T02:25:09Z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EA13DF7E2DBA4997B8F5AF15CBEE084A_12</vt:lpwstr>
  </property>
  <property fmtid="{D5CDD505-2E9C-101B-9397-08002B2CF9AE}" pid="4" name="KSOProductBuildV">
    <vt:lpwstr>2052-11.1.0.14309</vt:lpwstr>
  </property>
</Properties>
</file>