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/>
  </bookViews>
  <sheets>
    <sheet name="sheet1" sheetId="17" r:id="rId1"/>
  </sheets>
  <externalReferences>
    <externalReference r:id="rId2"/>
  </externalReferences>
  <definedNames>
    <definedName name="_xlnm._FilterDatabase" localSheetId="0" hidden="1">sheet1!$A$2:$XEW$231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<sst xmlns="http://schemas.openxmlformats.org/spreadsheetml/2006/main" count="509" uniqueCount="241">
  <si>
    <t>六盘水市中医医院2023年面向社会公开招聘编外医务人员面试成绩及总成绩</t>
  </si>
  <si>
    <t>序号</t>
  </si>
  <si>
    <t>姓名</t>
  </si>
  <si>
    <t>单位代码</t>
  </si>
  <si>
    <t>职位
代码</t>
  </si>
  <si>
    <t>笔试准考证号</t>
  </si>
  <si>
    <t>面试准考证号</t>
  </si>
  <si>
    <t>笔试成绩</t>
  </si>
  <si>
    <t>面试成绩</t>
  </si>
  <si>
    <t>总成绩=（笔试成绩/1.5*60%+面试成绩*40%）</t>
  </si>
  <si>
    <t>杨梦蝶</t>
  </si>
  <si>
    <t>01</t>
  </si>
  <si>
    <t>李章娅</t>
  </si>
  <si>
    <t>张 楠</t>
  </si>
  <si>
    <t>姜华蓉</t>
  </si>
  <si>
    <t>王璐玮</t>
  </si>
  <si>
    <t>柳春洋</t>
  </si>
  <si>
    <t>缺考</t>
  </si>
  <si>
    <t>田仁祥</t>
  </si>
  <si>
    <t>彭雪玥</t>
  </si>
  <si>
    <t>张琛</t>
  </si>
  <si>
    <t>胡维娟</t>
  </si>
  <si>
    <t>张银梅</t>
  </si>
  <si>
    <t>袁金辛</t>
  </si>
  <si>
    <t>卢思涛</t>
  </si>
  <si>
    <t>刘婷婷</t>
  </si>
  <si>
    <t>胡竞文</t>
  </si>
  <si>
    <t>周  倩</t>
  </si>
  <si>
    <t>林露露</t>
  </si>
  <si>
    <t>尤桂兰</t>
  </si>
  <si>
    <t>吴 岳</t>
  </si>
  <si>
    <t>向永春</t>
  </si>
  <si>
    <t>李思李</t>
  </si>
  <si>
    <t>孔维蚕</t>
  </si>
  <si>
    <t>张晓</t>
  </si>
  <si>
    <t>代青苹</t>
  </si>
  <si>
    <t>严宪</t>
  </si>
  <si>
    <t>颜欢</t>
  </si>
  <si>
    <t>李婷</t>
  </si>
  <si>
    <t>李成达</t>
  </si>
  <si>
    <t>徐天钟</t>
  </si>
  <si>
    <t>宋发辉</t>
  </si>
  <si>
    <t>陈鹏</t>
  </si>
  <si>
    <t>罗秀林</t>
  </si>
  <si>
    <t>冯兴梅</t>
  </si>
  <si>
    <t>彭红贵</t>
  </si>
  <si>
    <t>晋丽</t>
  </si>
  <si>
    <t>尹贤武</t>
  </si>
  <si>
    <t>王琦</t>
  </si>
  <si>
    <t>王满琴</t>
  </si>
  <si>
    <t>邓洁</t>
  </si>
  <si>
    <t>吴蕊</t>
  </si>
  <si>
    <t>郭康</t>
  </si>
  <si>
    <t>汤继梅</t>
  </si>
  <si>
    <t>龙顺</t>
  </si>
  <si>
    <t>何绍羽</t>
  </si>
  <si>
    <t>徐海洋</t>
  </si>
  <si>
    <t>胡盼</t>
  </si>
  <si>
    <t>张天一</t>
  </si>
  <si>
    <t>左冬梅</t>
  </si>
  <si>
    <t>王梅</t>
  </si>
  <si>
    <t>张丽</t>
  </si>
  <si>
    <t>赵跃兰</t>
  </si>
  <si>
    <t>杨敏</t>
  </si>
  <si>
    <t>田洪丽</t>
  </si>
  <si>
    <t>谢玲玲</t>
  </si>
  <si>
    <t>潘志勇</t>
  </si>
  <si>
    <t>刘白燕</t>
  </si>
  <si>
    <t>邓辽</t>
  </si>
  <si>
    <t>周仕林</t>
  </si>
  <si>
    <t>胡睿佳</t>
  </si>
  <si>
    <t>张远倩</t>
  </si>
  <si>
    <t>沙鑫</t>
  </si>
  <si>
    <t>朱雪梅</t>
  </si>
  <si>
    <t>周涛</t>
  </si>
  <si>
    <t>徐椅漪</t>
  </si>
  <si>
    <t>艾天赐</t>
  </si>
  <si>
    <t>韩涵</t>
  </si>
  <si>
    <t>杨凯宇</t>
  </si>
  <si>
    <t>赵倩</t>
  </si>
  <si>
    <t>章晶宇</t>
  </si>
  <si>
    <t>施启亮</t>
  </si>
  <si>
    <t>02</t>
  </si>
  <si>
    <t>饶曼</t>
  </si>
  <si>
    <t>封舟玲</t>
  </si>
  <si>
    <t>陈宗永</t>
  </si>
  <si>
    <t>郎传平</t>
  </si>
  <si>
    <t>朱敏</t>
  </si>
  <si>
    <t>曹路情</t>
  </si>
  <si>
    <t>蔡亚飞</t>
  </si>
  <si>
    <t>朱卫</t>
  </si>
  <si>
    <t>安晓芳</t>
  </si>
  <si>
    <t>姚蒋玉蓓</t>
  </si>
  <si>
    <t>李昕</t>
  </si>
  <si>
    <t>杨娟</t>
  </si>
  <si>
    <t>段忠梅</t>
  </si>
  <si>
    <t>吴贤芳</t>
  </si>
  <si>
    <t>张文杰</t>
  </si>
  <si>
    <t>林丽</t>
  </si>
  <si>
    <t>陆姣</t>
  </si>
  <si>
    <t>吴浪琴</t>
  </si>
  <si>
    <t>王迪</t>
  </si>
  <si>
    <t>宋雅洁</t>
  </si>
  <si>
    <t>陈英</t>
  </si>
  <si>
    <t>郑国青</t>
  </si>
  <si>
    <t>高领秀</t>
  </si>
  <si>
    <t>卢璐</t>
  </si>
  <si>
    <t>李敏</t>
  </si>
  <si>
    <t>李晗</t>
  </si>
  <si>
    <t>常祎</t>
  </si>
  <si>
    <t>彭孝先</t>
  </si>
  <si>
    <t>姚燕</t>
  </si>
  <si>
    <t>张右灵</t>
  </si>
  <si>
    <t>曾令洪</t>
  </si>
  <si>
    <t>朱俊飞</t>
  </si>
  <si>
    <t>胡诗雯</t>
  </si>
  <si>
    <t>颜娟</t>
  </si>
  <si>
    <t>肖鑫</t>
  </si>
  <si>
    <t>张雄</t>
  </si>
  <si>
    <t>余啸</t>
  </si>
  <si>
    <t>耿佳原</t>
  </si>
  <si>
    <t>马娇</t>
  </si>
  <si>
    <t>陈琴</t>
  </si>
  <si>
    <t>徐章佑</t>
  </si>
  <si>
    <t>褚雄</t>
  </si>
  <si>
    <t>高丽</t>
  </si>
  <si>
    <t>李前旭</t>
  </si>
  <si>
    <t>安菊</t>
  </si>
  <si>
    <t>徐倩</t>
  </si>
  <si>
    <t>吕华娟</t>
  </si>
  <si>
    <t>马文蝶</t>
  </si>
  <si>
    <t>杨梅</t>
  </si>
  <si>
    <t>王志遥</t>
  </si>
  <si>
    <t>陈欢</t>
  </si>
  <si>
    <t>孙思琴</t>
  </si>
  <si>
    <t>严智</t>
  </si>
  <si>
    <t>卯昌厚</t>
  </si>
  <si>
    <t>熊甜甜</t>
  </si>
  <si>
    <t>罗露</t>
  </si>
  <si>
    <t>李颖</t>
  </si>
  <si>
    <t>李彦秀</t>
  </si>
  <si>
    <t>孙艳梅</t>
  </si>
  <si>
    <t>陶爱</t>
  </si>
  <si>
    <t>祖甜分</t>
  </si>
  <si>
    <t>王文丽</t>
  </si>
  <si>
    <t>李裕爽</t>
  </si>
  <si>
    <t>郭秘</t>
  </si>
  <si>
    <t>赵君珲</t>
  </si>
  <si>
    <t>孙修贤</t>
  </si>
  <si>
    <t>罗飞</t>
  </si>
  <si>
    <t>安龙先</t>
  </si>
  <si>
    <t>谢国宇</t>
  </si>
  <si>
    <t>胡玉琴</t>
  </si>
  <si>
    <t>刘秀梅</t>
  </si>
  <si>
    <t>刘梦</t>
  </si>
  <si>
    <t>韦龙凤</t>
  </si>
  <si>
    <t>苏梦召</t>
  </si>
  <si>
    <t>吉丽莎</t>
  </si>
  <si>
    <t>松敏</t>
  </si>
  <si>
    <t>冯桂金</t>
  </si>
  <si>
    <t>刘婷</t>
  </si>
  <si>
    <t>伍兴慧</t>
  </si>
  <si>
    <t>路丹</t>
  </si>
  <si>
    <t>李春娇</t>
  </si>
  <si>
    <t>李玲</t>
  </si>
  <si>
    <t>陈燕群</t>
  </si>
  <si>
    <t>赵丹</t>
  </si>
  <si>
    <t>林银</t>
  </si>
  <si>
    <t>黄均敏</t>
  </si>
  <si>
    <t>颜正巧</t>
  </si>
  <si>
    <t>邓红娇</t>
  </si>
  <si>
    <t>陈俊仙</t>
  </si>
  <si>
    <t>李优</t>
  </si>
  <si>
    <t>杨梦</t>
  </si>
  <si>
    <t>王凤</t>
  </si>
  <si>
    <t>黄丽</t>
  </si>
  <si>
    <t>邓丽</t>
  </si>
  <si>
    <t>程正秋</t>
  </si>
  <si>
    <t>周欢欢</t>
  </si>
  <si>
    <t>聂婷</t>
  </si>
  <si>
    <t>王国艳</t>
  </si>
  <si>
    <t>柯贤薇</t>
  </si>
  <si>
    <t>宋勤</t>
  </si>
  <si>
    <t>吕燕</t>
  </si>
  <si>
    <t>管瑶</t>
  </si>
  <si>
    <t>安红宪</t>
  </si>
  <si>
    <t>彭润</t>
  </si>
  <si>
    <t>尹维俊</t>
  </si>
  <si>
    <t>马南</t>
  </si>
  <si>
    <t>周倩</t>
  </si>
  <si>
    <t>唐星</t>
  </si>
  <si>
    <t>吴威</t>
  </si>
  <si>
    <t>卯美琴</t>
  </si>
  <si>
    <t>吕宏川</t>
  </si>
  <si>
    <t>曹红</t>
  </si>
  <si>
    <t>张娅</t>
  </si>
  <si>
    <t>03</t>
  </si>
  <si>
    <t>周宏发</t>
  </si>
  <si>
    <t>朱凡靠</t>
  </si>
  <si>
    <t>王万林</t>
  </si>
  <si>
    <t>邓莉</t>
  </si>
  <si>
    <t>尚丽佳</t>
  </si>
  <si>
    <t>母玉群</t>
  </si>
  <si>
    <t>张宇</t>
  </si>
  <si>
    <t>石原芳</t>
  </si>
  <si>
    <t>朱海霞</t>
  </si>
  <si>
    <t>刘松</t>
  </si>
  <si>
    <t>黄承会</t>
  </si>
  <si>
    <t>禄多佳</t>
  </si>
  <si>
    <t>徐彩艳</t>
  </si>
  <si>
    <t>王臣敏</t>
  </si>
  <si>
    <t>田莎</t>
  </si>
  <si>
    <t>邹宇</t>
  </si>
  <si>
    <t>吴东梅</t>
  </si>
  <si>
    <t>吴雪雪</t>
  </si>
  <si>
    <t>雷文蓉</t>
  </si>
  <si>
    <t>王雪</t>
  </si>
  <si>
    <t>朱娇</t>
  </si>
  <si>
    <t>聂云芬</t>
  </si>
  <si>
    <t>史丽梅</t>
  </si>
  <si>
    <t>刘娅</t>
  </si>
  <si>
    <t>张婷</t>
  </si>
  <si>
    <t>谭玉华</t>
  </si>
  <si>
    <t>罗中杰</t>
  </si>
  <si>
    <t>陈芡芡</t>
  </si>
  <si>
    <t>吴汉锋</t>
  </si>
  <si>
    <t>王爱丽</t>
  </si>
  <si>
    <t>刘啊耳</t>
  </si>
  <si>
    <t>顾静静</t>
  </si>
  <si>
    <t>鄢忠灿</t>
  </si>
  <si>
    <t>张翠</t>
  </si>
  <si>
    <t>丁梦瑶</t>
  </si>
  <si>
    <t>姚旋</t>
  </si>
  <si>
    <t>吴菜芬</t>
  </si>
  <si>
    <t>吕梅</t>
  </si>
  <si>
    <t>喻常倍</t>
  </si>
  <si>
    <t>成彩</t>
  </si>
  <si>
    <t>周美林</t>
  </si>
  <si>
    <t>吴鸿</t>
  </si>
  <si>
    <t>谢荣焕</t>
  </si>
  <si>
    <t>胡晓晓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</si>
</sst>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方正小标宋简体"/>
      <charset val="134"/>
    </font>
    <font>
      <b/>
      <sz val="12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45;&#30424;&#27700;&#24066;&#20013;&#21307;&#21307;&#38498;2023&#24180;&#38754;&#21521;&#31038;&#20250;&#20844;&#24320;&#25307;&#32856;&#32534;&#22806;&#21307;&#21153;&#20154;&#21592;&#36164;&#26684;&#22797;&#23457;&#32467;&#2652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笔试排名"/>
    </sheetNames>
    <sheetDataSet>
      <sheetData sheetId="0">
        <row r="3">
          <cell r="E3" t="str">
            <v>202309011030</v>
          </cell>
          <cell r="F3">
            <v>102.33</v>
          </cell>
        </row>
        <row r="4">
          <cell r="E4" t="str">
            <v>202309011115</v>
          </cell>
          <cell r="F4">
            <v>98.67</v>
          </cell>
        </row>
        <row r="5">
          <cell r="E5" t="str">
            <v>202309011104</v>
          </cell>
          <cell r="F5">
            <v>92.07</v>
          </cell>
        </row>
        <row r="6">
          <cell r="E6" t="str">
            <v>202309011117</v>
          </cell>
          <cell r="F6">
            <v>91.14</v>
          </cell>
        </row>
        <row r="7">
          <cell r="E7" t="str">
            <v>202309011021</v>
          </cell>
          <cell r="F7">
            <v>90.91</v>
          </cell>
        </row>
        <row r="8">
          <cell r="E8" t="str">
            <v>202309011022</v>
          </cell>
          <cell r="F8">
            <v>89.24</v>
          </cell>
        </row>
        <row r="9">
          <cell r="E9" t="str">
            <v>202309011108</v>
          </cell>
          <cell r="F9">
            <v>89.18</v>
          </cell>
        </row>
        <row r="10">
          <cell r="E10" t="str">
            <v>202309011027</v>
          </cell>
          <cell r="F10">
            <v>88.38</v>
          </cell>
        </row>
        <row r="11">
          <cell r="E11" t="str">
            <v>202309011113</v>
          </cell>
          <cell r="F11">
            <v>87.72</v>
          </cell>
        </row>
        <row r="12">
          <cell r="E12" t="str">
            <v>202309011112</v>
          </cell>
          <cell r="F12">
            <v>87.56</v>
          </cell>
        </row>
        <row r="13">
          <cell r="E13" t="str">
            <v>202309011105</v>
          </cell>
          <cell r="F13">
            <v>87.49</v>
          </cell>
        </row>
        <row r="14">
          <cell r="E14" t="str">
            <v>202309011029</v>
          </cell>
          <cell r="F14">
            <v>86.5</v>
          </cell>
        </row>
        <row r="15">
          <cell r="E15" t="str">
            <v>202309011106</v>
          </cell>
          <cell r="F15">
            <v>85.19</v>
          </cell>
        </row>
        <row r="16">
          <cell r="E16" t="str">
            <v>202309011102</v>
          </cell>
          <cell r="F16">
            <v>85.04</v>
          </cell>
        </row>
        <row r="17">
          <cell r="E17" t="str">
            <v>202309011114</v>
          </cell>
          <cell r="F17">
            <v>82.82</v>
          </cell>
        </row>
        <row r="18">
          <cell r="E18" t="str">
            <v>202309011028</v>
          </cell>
          <cell r="F18">
            <v>82.74</v>
          </cell>
        </row>
        <row r="19">
          <cell r="E19" t="str">
            <v>202309011023</v>
          </cell>
          <cell r="F19">
            <v>82.3</v>
          </cell>
        </row>
        <row r="20">
          <cell r="E20" t="str">
            <v>202309011024</v>
          </cell>
          <cell r="F20">
            <v>80.01</v>
          </cell>
        </row>
        <row r="21">
          <cell r="E21" t="str">
            <v>202309011202</v>
          </cell>
          <cell r="F21">
            <v>103.88</v>
          </cell>
        </row>
        <row r="22">
          <cell r="E22" t="str">
            <v>202309011125</v>
          </cell>
          <cell r="F22">
            <v>102.15</v>
          </cell>
        </row>
        <row r="23">
          <cell r="E23" t="str">
            <v>202309011130</v>
          </cell>
          <cell r="F23">
            <v>98.16</v>
          </cell>
        </row>
        <row r="24">
          <cell r="E24" t="str">
            <v>202309011118</v>
          </cell>
          <cell r="F24">
            <v>95.6</v>
          </cell>
        </row>
        <row r="25">
          <cell r="E25" t="str">
            <v>202309011126</v>
          </cell>
          <cell r="F25">
            <v>94.34</v>
          </cell>
        </row>
        <row r="26">
          <cell r="E26" t="str">
            <v>202309011119</v>
          </cell>
          <cell r="F26">
            <v>92.64</v>
          </cell>
        </row>
        <row r="27">
          <cell r="E27" t="str">
            <v>202309011122</v>
          </cell>
          <cell r="F27">
            <v>92.02</v>
          </cell>
        </row>
        <row r="28">
          <cell r="E28" t="str">
            <v>202309011127</v>
          </cell>
          <cell r="F28">
            <v>90.47</v>
          </cell>
        </row>
        <row r="29">
          <cell r="E29" t="str">
            <v>202309011124</v>
          </cell>
          <cell r="F29">
            <v>87.77</v>
          </cell>
        </row>
        <row r="30">
          <cell r="E30" t="str">
            <v>202309011128</v>
          </cell>
          <cell r="F30">
            <v>83.82</v>
          </cell>
        </row>
        <row r="31">
          <cell r="E31" t="str">
            <v>202309011129</v>
          </cell>
          <cell r="F31">
            <v>81.61</v>
          </cell>
        </row>
        <row r="32">
          <cell r="E32" t="str">
            <v>202309011121</v>
          </cell>
          <cell r="F32">
            <v>78.39</v>
          </cell>
        </row>
        <row r="33">
          <cell r="E33" t="str">
            <v>202309011201</v>
          </cell>
          <cell r="F33">
            <v>75.45</v>
          </cell>
        </row>
        <row r="34">
          <cell r="E34" t="str">
            <v>202309011120</v>
          </cell>
          <cell r="F34">
            <v>74.47</v>
          </cell>
        </row>
        <row r="35">
          <cell r="E35" t="str">
            <v>202309011204</v>
          </cell>
          <cell r="F35">
            <v>104.21</v>
          </cell>
        </row>
        <row r="36">
          <cell r="E36" t="str">
            <v>202309011206</v>
          </cell>
          <cell r="F36">
            <v>90.81</v>
          </cell>
        </row>
        <row r="37">
          <cell r="E37" t="str">
            <v>202309011209</v>
          </cell>
          <cell r="F37">
            <v>87.84</v>
          </cell>
        </row>
        <row r="38">
          <cell r="E38" t="str">
            <v>202309011208</v>
          </cell>
          <cell r="F38">
            <v>87.41</v>
          </cell>
        </row>
        <row r="39">
          <cell r="E39" t="str">
            <v>202309011205</v>
          </cell>
          <cell r="F39">
            <v>78.28</v>
          </cell>
        </row>
        <row r="40">
          <cell r="E40" t="str">
            <v>202309010119</v>
          </cell>
          <cell r="F40">
            <v>126.89</v>
          </cell>
        </row>
        <row r="41">
          <cell r="E41" t="str">
            <v>202309010106</v>
          </cell>
          <cell r="F41">
            <v>119.36</v>
          </cell>
        </row>
        <row r="42">
          <cell r="E42" t="str">
            <v>202309010116</v>
          </cell>
          <cell r="F42">
            <v>118.85</v>
          </cell>
        </row>
        <row r="43">
          <cell r="E43" t="str">
            <v>202309010118</v>
          </cell>
          <cell r="F43">
            <v>117.87</v>
          </cell>
        </row>
        <row r="44">
          <cell r="E44" t="str">
            <v>202309010117</v>
          </cell>
          <cell r="F44">
            <v>116.99</v>
          </cell>
        </row>
        <row r="45">
          <cell r="E45" t="str">
            <v>202309010110</v>
          </cell>
          <cell r="F45">
            <v>115.42</v>
          </cell>
        </row>
        <row r="46">
          <cell r="E46" t="str">
            <v>202309010104</v>
          </cell>
          <cell r="F46">
            <v>113</v>
          </cell>
        </row>
        <row r="47">
          <cell r="E47" t="str">
            <v>202309010113</v>
          </cell>
          <cell r="F47">
            <v>110.97</v>
          </cell>
        </row>
        <row r="48">
          <cell r="E48" t="str">
            <v>202309010105</v>
          </cell>
          <cell r="F48">
            <v>109.88</v>
          </cell>
        </row>
        <row r="49">
          <cell r="E49" t="str">
            <v>202309010121</v>
          </cell>
          <cell r="F49">
            <v>105.81</v>
          </cell>
        </row>
        <row r="50">
          <cell r="E50" t="str">
            <v>202309010124</v>
          </cell>
          <cell r="F50">
            <v>105.19</v>
          </cell>
        </row>
        <row r="51">
          <cell r="E51" t="str">
            <v>202309010101</v>
          </cell>
          <cell r="F51">
            <v>104.72</v>
          </cell>
        </row>
        <row r="52">
          <cell r="E52" t="str">
            <v>202309010108</v>
          </cell>
          <cell r="F52">
            <v>103.85</v>
          </cell>
        </row>
        <row r="53">
          <cell r="E53" t="str">
            <v>202309010109</v>
          </cell>
          <cell r="F53">
            <v>102.46</v>
          </cell>
        </row>
        <row r="54">
          <cell r="E54" t="str">
            <v>202309010107</v>
          </cell>
          <cell r="F54">
            <v>102.28</v>
          </cell>
        </row>
        <row r="55">
          <cell r="E55" t="str">
            <v>202309010127</v>
          </cell>
          <cell r="F55">
            <v>101.07</v>
          </cell>
        </row>
        <row r="56">
          <cell r="E56" t="str">
            <v>202309010115</v>
          </cell>
          <cell r="F56">
            <v>100.99</v>
          </cell>
        </row>
        <row r="57">
          <cell r="E57" t="str">
            <v>202309010102</v>
          </cell>
          <cell r="F57">
            <v>100.71</v>
          </cell>
        </row>
        <row r="58">
          <cell r="E58" t="str">
            <v>202309010122</v>
          </cell>
          <cell r="F58">
            <v>100.71</v>
          </cell>
        </row>
        <row r="59">
          <cell r="E59" t="str">
            <v>202309010103</v>
          </cell>
          <cell r="F59">
            <v>99.26</v>
          </cell>
        </row>
        <row r="60">
          <cell r="E60" t="str">
            <v>202309010123</v>
          </cell>
          <cell r="F60">
            <v>96.3</v>
          </cell>
        </row>
        <row r="61">
          <cell r="E61" t="str">
            <v>202309010120</v>
          </cell>
          <cell r="F61">
            <v>95.68</v>
          </cell>
        </row>
        <row r="62">
          <cell r="E62" t="str">
            <v>202309010125</v>
          </cell>
          <cell r="F62">
            <v>94.26</v>
          </cell>
        </row>
        <row r="63">
          <cell r="E63" t="str">
            <v>202309010126</v>
          </cell>
          <cell r="F63">
            <v>93.95</v>
          </cell>
        </row>
        <row r="64">
          <cell r="E64" t="str">
            <v>202309010114</v>
          </cell>
          <cell r="F64">
            <v>93.08</v>
          </cell>
        </row>
        <row r="65">
          <cell r="E65" t="str">
            <v>202309010111</v>
          </cell>
          <cell r="F65">
            <v>82.36</v>
          </cell>
        </row>
        <row r="66">
          <cell r="E66" t="str">
            <v>202309010201</v>
          </cell>
          <cell r="F66">
            <v>114.91</v>
          </cell>
        </row>
        <row r="67">
          <cell r="E67" t="str">
            <v>202309010206</v>
          </cell>
          <cell r="F67">
            <v>114.16</v>
          </cell>
        </row>
        <row r="68">
          <cell r="E68" t="str">
            <v>202309010208</v>
          </cell>
          <cell r="F68">
            <v>111.68</v>
          </cell>
        </row>
        <row r="69">
          <cell r="E69" t="str">
            <v>202309010210</v>
          </cell>
          <cell r="F69">
            <v>111.19</v>
          </cell>
        </row>
        <row r="70">
          <cell r="E70" t="str">
            <v>202309010218</v>
          </cell>
          <cell r="F70">
            <v>111.17</v>
          </cell>
        </row>
        <row r="71">
          <cell r="E71" t="str">
            <v>202309010221</v>
          </cell>
          <cell r="F71">
            <v>110.52</v>
          </cell>
        </row>
        <row r="72">
          <cell r="E72" t="str">
            <v>202309010227</v>
          </cell>
          <cell r="F72">
            <v>109.57</v>
          </cell>
        </row>
        <row r="73">
          <cell r="E73" t="str">
            <v>202309010216</v>
          </cell>
          <cell r="F73">
            <v>109.23</v>
          </cell>
        </row>
        <row r="74">
          <cell r="E74" t="str">
            <v>202309010302</v>
          </cell>
          <cell r="F74">
            <v>109.13</v>
          </cell>
        </row>
        <row r="75">
          <cell r="E75" t="str">
            <v>202309010203</v>
          </cell>
          <cell r="F75">
            <v>108.59</v>
          </cell>
        </row>
        <row r="76">
          <cell r="E76" t="str">
            <v>202309010230</v>
          </cell>
          <cell r="F76">
            <v>108.41</v>
          </cell>
        </row>
        <row r="77">
          <cell r="E77" t="str">
            <v>202309010215</v>
          </cell>
          <cell r="F77">
            <v>108.36</v>
          </cell>
        </row>
        <row r="78">
          <cell r="E78" t="str">
            <v>202309010219</v>
          </cell>
          <cell r="F78">
            <v>107.35</v>
          </cell>
        </row>
        <row r="79">
          <cell r="E79" t="str">
            <v>202309010205</v>
          </cell>
          <cell r="F79">
            <v>107.02</v>
          </cell>
        </row>
        <row r="80">
          <cell r="E80" t="str">
            <v>202309010129</v>
          </cell>
          <cell r="F80">
            <v>106.91</v>
          </cell>
        </row>
        <row r="81">
          <cell r="E81" t="str">
            <v>202309010211</v>
          </cell>
          <cell r="F81">
            <v>106.91</v>
          </cell>
        </row>
        <row r="82">
          <cell r="E82" t="str">
            <v>202309010301</v>
          </cell>
          <cell r="F82">
            <v>106.24</v>
          </cell>
        </row>
        <row r="83">
          <cell r="E83" t="str">
            <v>202309010130</v>
          </cell>
          <cell r="F83">
            <v>105.4</v>
          </cell>
        </row>
        <row r="84">
          <cell r="E84" t="str">
            <v>202309010225</v>
          </cell>
          <cell r="F84">
            <v>104.67</v>
          </cell>
        </row>
        <row r="85">
          <cell r="E85" t="str">
            <v>202309010303</v>
          </cell>
          <cell r="F85">
            <v>102.2</v>
          </cell>
        </row>
        <row r="86">
          <cell r="E86" t="str">
            <v>202309010207</v>
          </cell>
          <cell r="F86">
            <v>101.35</v>
          </cell>
        </row>
        <row r="87">
          <cell r="E87" t="str">
            <v>202309010223</v>
          </cell>
          <cell r="F87">
            <v>100.37</v>
          </cell>
        </row>
        <row r="88">
          <cell r="E88" t="str">
            <v>202309010226</v>
          </cell>
          <cell r="F88">
            <v>98.93</v>
          </cell>
        </row>
        <row r="89">
          <cell r="E89" t="str">
            <v>202309010224</v>
          </cell>
          <cell r="F89">
            <v>98.33</v>
          </cell>
        </row>
        <row r="90">
          <cell r="E90" t="str">
            <v>202309010214</v>
          </cell>
          <cell r="F90">
            <v>98.26</v>
          </cell>
        </row>
        <row r="91">
          <cell r="E91" t="str">
            <v>202309010212</v>
          </cell>
          <cell r="F91">
            <v>98.05</v>
          </cell>
        </row>
        <row r="92">
          <cell r="E92" t="str">
            <v>202309010229</v>
          </cell>
          <cell r="F92">
            <v>96.2</v>
          </cell>
        </row>
        <row r="93">
          <cell r="E93" t="str">
            <v>202309010220</v>
          </cell>
          <cell r="F93">
            <v>94.34</v>
          </cell>
        </row>
        <row r="94">
          <cell r="E94" t="str">
            <v>202309010217</v>
          </cell>
          <cell r="F94">
            <v>89.93</v>
          </cell>
        </row>
        <row r="95">
          <cell r="E95" t="str">
            <v>202309010213</v>
          </cell>
          <cell r="F95">
            <v>81.97</v>
          </cell>
        </row>
        <row r="96">
          <cell r="E96" t="str">
            <v>202309010209</v>
          </cell>
          <cell r="F96">
            <v>81.89</v>
          </cell>
        </row>
        <row r="97">
          <cell r="E97" t="str">
            <v>202309010811</v>
          </cell>
          <cell r="F97">
            <v>105.81</v>
          </cell>
        </row>
        <row r="98">
          <cell r="E98" t="str">
            <v>202309010808</v>
          </cell>
          <cell r="F98">
            <v>100.6</v>
          </cell>
        </row>
        <row r="99">
          <cell r="E99" t="str">
            <v>202309011012</v>
          </cell>
          <cell r="F99">
            <v>100.19</v>
          </cell>
        </row>
        <row r="100">
          <cell r="E100" t="str">
            <v>202309010320</v>
          </cell>
          <cell r="F100">
            <v>99.54</v>
          </cell>
        </row>
        <row r="101">
          <cell r="E101" t="str">
            <v>202309010307</v>
          </cell>
          <cell r="F101">
            <v>98.05</v>
          </cell>
        </row>
        <row r="102">
          <cell r="E102" t="str">
            <v>202309010324</v>
          </cell>
          <cell r="F102">
            <v>97.25</v>
          </cell>
        </row>
        <row r="103">
          <cell r="E103" t="str">
            <v>202309010508</v>
          </cell>
          <cell r="F103">
            <v>97.12</v>
          </cell>
        </row>
        <row r="104">
          <cell r="E104" t="str">
            <v>202309010607</v>
          </cell>
          <cell r="F104">
            <v>94.98</v>
          </cell>
        </row>
        <row r="105">
          <cell r="E105" t="str">
            <v>202309010518</v>
          </cell>
          <cell r="F105">
            <v>94.8</v>
          </cell>
        </row>
        <row r="106">
          <cell r="E106" t="str">
            <v>202309010712</v>
          </cell>
          <cell r="F106">
            <v>93.97</v>
          </cell>
        </row>
        <row r="107">
          <cell r="E107" t="str">
            <v>202309010806</v>
          </cell>
          <cell r="F107">
            <v>93.71</v>
          </cell>
        </row>
        <row r="108">
          <cell r="E108" t="str">
            <v>202309010920</v>
          </cell>
          <cell r="F108">
            <v>93.69</v>
          </cell>
        </row>
        <row r="109">
          <cell r="E109" t="str">
            <v>202309010819</v>
          </cell>
          <cell r="F109">
            <v>92.71</v>
          </cell>
        </row>
        <row r="110">
          <cell r="E110" t="str">
            <v>202309010529</v>
          </cell>
          <cell r="F110">
            <v>92.64</v>
          </cell>
        </row>
        <row r="111">
          <cell r="E111" t="str">
            <v>202309011214</v>
          </cell>
          <cell r="F111">
            <v>115.65</v>
          </cell>
        </row>
        <row r="112">
          <cell r="E112" t="str">
            <v>202309011212</v>
          </cell>
          <cell r="F112">
            <v>105.57</v>
          </cell>
        </row>
        <row r="113">
          <cell r="E113" t="str">
            <v>202309011210</v>
          </cell>
          <cell r="F113">
            <v>92.02</v>
          </cell>
        </row>
        <row r="114">
          <cell r="E114" t="str">
            <v>202309011216</v>
          </cell>
          <cell r="F114">
            <v>90.39</v>
          </cell>
        </row>
        <row r="115">
          <cell r="E115" t="str">
            <v>202309011215</v>
          </cell>
          <cell r="F115">
            <v>87.59</v>
          </cell>
        </row>
        <row r="116">
          <cell r="E116" t="str">
            <v>202309011211</v>
          </cell>
          <cell r="F116">
            <v>80.24</v>
          </cell>
        </row>
        <row r="117">
          <cell r="E117" t="str">
            <v>202309011213</v>
          </cell>
          <cell r="F117">
            <v>76.01</v>
          </cell>
        </row>
        <row r="118">
          <cell r="E118" t="str">
            <v>202309011304</v>
          </cell>
          <cell r="F118">
            <v>94.05</v>
          </cell>
        </row>
        <row r="119">
          <cell r="E119" t="str">
            <v>202309011217</v>
          </cell>
          <cell r="F119">
            <v>93.13</v>
          </cell>
        </row>
        <row r="120">
          <cell r="E120" t="str">
            <v>202309011220</v>
          </cell>
          <cell r="F120">
            <v>93.06</v>
          </cell>
        </row>
        <row r="121">
          <cell r="E121" t="str">
            <v>202309011227</v>
          </cell>
          <cell r="F121">
            <v>90.27</v>
          </cell>
        </row>
        <row r="122">
          <cell r="E122" t="str">
            <v>202309011228</v>
          </cell>
          <cell r="F122">
            <v>89.24</v>
          </cell>
        </row>
        <row r="123">
          <cell r="E123" t="str">
            <v>202309011303</v>
          </cell>
          <cell r="F123">
            <v>86.76</v>
          </cell>
        </row>
        <row r="124">
          <cell r="E124" t="str">
            <v>202309011306</v>
          </cell>
          <cell r="F124">
            <v>85.47</v>
          </cell>
        </row>
        <row r="125">
          <cell r="E125" t="str">
            <v>202309011301</v>
          </cell>
          <cell r="F125">
            <v>85.12</v>
          </cell>
        </row>
        <row r="126">
          <cell r="E126" t="str">
            <v>202309011221</v>
          </cell>
          <cell r="F126">
            <v>83.57</v>
          </cell>
        </row>
        <row r="127">
          <cell r="E127" t="str">
            <v>202309011305</v>
          </cell>
          <cell r="F127">
            <v>75.53</v>
          </cell>
        </row>
        <row r="128">
          <cell r="E128" t="str">
            <v>202309011230</v>
          </cell>
          <cell r="F128">
            <v>74.11</v>
          </cell>
        </row>
        <row r="129">
          <cell r="E129" t="str">
            <v>202309011224</v>
          </cell>
          <cell r="F129">
            <v>72.61</v>
          </cell>
        </row>
        <row r="130">
          <cell r="E130" t="str">
            <v>202309011313</v>
          </cell>
          <cell r="F130">
            <v>128.1</v>
          </cell>
        </row>
        <row r="131">
          <cell r="E131" t="str">
            <v>202309011317</v>
          </cell>
          <cell r="F131">
            <v>115.42</v>
          </cell>
        </row>
        <row r="132">
          <cell r="E132" t="str">
            <v>202309011307</v>
          </cell>
          <cell r="F132">
            <v>112.2</v>
          </cell>
        </row>
        <row r="133">
          <cell r="E133" t="str">
            <v>202309011311</v>
          </cell>
          <cell r="F133">
            <v>101.48</v>
          </cell>
        </row>
        <row r="134">
          <cell r="E134" t="str">
            <v>202309011315</v>
          </cell>
          <cell r="F134">
            <v>97.74</v>
          </cell>
        </row>
        <row r="135">
          <cell r="E135" t="str">
            <v>202309011318</v>
          </cell>
          <cell r="F135">
            <v>93.41</v>
          </cell>
        </row>
        <row r="136">
          <cell r="E136" t="str">
            <v>202309011316</v>
          </cell>
          <cell r="F136">
            <v>87.74</v>
          </cell>
        </row>
        <row r="137">
          <cell r="E137" t="str">
            <v>202309011314</v>
          </cell>
          <cell r="F137">
            <v>83.49</v>
          </cell>
        </row>
        <row r="138">
          <cell r="E138" t="str">
            <v>202309011312</v>
          </cell>
          <cell r="F138">
            <v>82.98</v>
          </cell>
        </row>
        <row r="139">
          <cell r="E139" t="str">
            <v>202309011310</v>
          </cell>
          <cell r="F139">
            <v>81.61</v>
          </cell>
        </row>
        <row r="140">
          <cell r="E140" t="str">
            <v>202309011308</v>
          </cell>
          <cell r="F140">
            <v>73.88</v>
          </cell>
        </row>
        <row r="141">
          <cell r="E141" t="str">
            <v>202309011325</v>
          </cell>
          <cell r="F141">
            <v>119.93</v>
          </cell>
        </row>
        <row r="142">
          <cell r="E142" t="str">
            <v>202309011507</v>
          </cell>
          <cell r="F142">
            <v>114.39</v>
          </cell>
        </row>
        <row r="143">
          <cell r="E143" t="str">
            <v>202309011409</v>
          </cell>
          <cell r="F143">
            <v>112.69</v>
          </cell>
        </row>
        <row r="144">
          <cell r="E144" t="str">
            <v>202309011510</v>
          </cell>
          <cell r="F144">
            <v>111.83</v>
          </cell>
        </row>
        <row r="145">
          <cell r="E145" t="str">
            <v>202309011414</v>
          </cell>
          <cell r="F145">
            <v>109.28</v>
          </cell>
        </row>
        <row r="146">
          <cell r="E146" t="str">
            <v>202309011413</v>
          </cell>
          <cell r="F146">
            <v>108.39</v>
          </cell>
        </row>
        <row r="147">
          <cell r="E147" t="str">
            <v>202309011630</v>
          </cell>
          <cell r="F147">
            <v>108.18</v>
          </cell>
        </row>
        <row r="148">
          <cell r="E148" t="str">
            <v>202309011809</v>
          </cell>
          <cell r="F148">
            <v>107.89</v>
          </cell>
        </row>
        <row r="149">
          <cell r="E149" t="str">
            <v>202309011416</v>
          </cell>
          <cell r="F149">
            <v>107.46</v>
          </cell>
        </row>
        <row r="150">
          <cell r="E150" t="str">
            <v>202309012022</v>
          </cell>
          <cell r="F150">
            <v>111.53</v>
          </cell>
        </row>
        <row r="151">
          <cell r="E151" t="str">
            <v>202309011919</v>
          </cell>
          <cell r="F151">
            <v>109.44</v>
          </cell>
        </row>
        <row r="152">
          <cell r="E152" t="str">
            <v>202309012011</v>
          </cell>
          <cell r="F152">
            <v>108.9</v>
          </cell>
        </row>
        <row r="153">
          <cell r="E153" t="str">
            <v>202309011812</v>
          </cell>
          <cell r="F153">
            <v>108.82</v>
          </cell>
        </row>
        <row r="154">
          <cell r="E154" t="str">
            <v>202309012201</v>
          </cell>
          <cell r="F154">
            <v>107.66</v>
          </cell>
        </row>
        <row r="155">
          <cell r="E155" t="str">
            <v>202309011930</v>
          </cell>
          <cell r="F155">
            <v>107.48</v>
          </cell>
        </row>
        <row r="156">
          <cell r="E156" t="str">
            <v>202309012306</v>
          </cell>
          <cell r="F156">
            <v>104.47</v>
          </cell>
        </row>
        <row r="157">
          <cell r="E157" t="str">
            <v>202309012228</v>
          </cell>
          <cell r="F157">
            <v>103.95</v>
          </cell>
        </row>
        <row r="158">
          <cell r="E158" t="str">
            <v>202309012218</v>
          </cell>
          <cell r="F158">
            <v>102.74</v>
          </cell>
        </row>
        <row r="159">
          <cell r="E159" t="str">
            <v>202309012217</v>
          </cell>
          <cell r="F159">
            <v>101.04</v>
          </cell>
        </row>
        <row r="160">
          <cell r="E160" t="str">
            <v>202309012409</v>
          </cell>
          <cell r="F160">
            <v>98.67</v>
          </cell>
        </row>
        <row r="161">
          <cell r="E161" t="str">
            <v>202309012321</v>
          </cell>
          <cell r="F161">
            <v>97.51</v>
          </cell>
        </row>
        <row r="162">
          <cell r="E162" t="str">
            <v>202309012304</v>
          </cell>
          <cell r="F162">
            <v>96.48</v>
          </cell>
        </row>
        <row r="163">
          <cell r="E163" t="str">
            <v>202309012319</v>
          </cell>
          <cell r="F163">
            <v>96.07</v>
          </cell>
        </row>
        <row r="164">
          <cell r="E164" t="str">
            <v>202309013914</v>
          </cell>
          <cell r="F164">
            <v>122.79</v>
          </cell>
        </row>
        <row r="165">
          <cell r="E165" t="str">
            <v>202309012625</v>
          </cell>
          <cell r="F165">
            <v>119.02</v>
          </cell>
        </row>
        <row r="166">
          <cell r="E166" t="str">
            <v>202309012820</v>
          </cell>
          <cell r="F166">
            <v>118.38</v>
          </cell>
        </row>
        <row r="167">
          <cell r="E167" t="str">
            <v>202309014407</v>
          </cell>
          <cell r="F167">
            <v>118.02</v>
          </cell>
        </row>
        <row r="168">
          <cell r="E168" t="str">
            <v>202309013408</v>
          </cell>
          <cell r="F168">
            <v>115.96</v>
          </cell>
        </row>
        <row r="169">
          <cell r="E169" t="str">
            <v>202309013702</v>
          </cell>
          <cell r="F169">
            <v>114.49</v>
          </cell>
        </row>
        <row r="170">
          <cell r="E170" t="str">
            <v>202309013212</v>
          </cell>
          <cell r="F170">
            <v>114.13</v>
          </cell>
        </row>
        <row r="171">
          <cell r="E171" t="str">
            <v>202309013909</v>
          </cell>
          <cell r="F171">
            <v>114.1</v>
          </cell>
        </row>
        <row r="172">
          <cell r="E172" t="str">
            <v>202309013628</v>
          </cell>
          <cell r="F172">
            <v>113.56</v>
          </cell>
        </row>
        <row r="173">
          <cell r="E173" t="str">
            <v>202309013513</v>
          </cell>
          <cell r="F173">
            <v>113.51</v>
          </cell>
        </row>
        <row r="174">
          <cell r="E174" t="str">
            <v>202309013804</v>
          </cell>
          <cell r="F174">
            <v>111.71</v>
          </cell>
        </row>
        <row r="175">
          <cell r="E175" t="str">
            <v>202309012703</v>
          </cell>
          <cell r="F175">
            <v>111.53</v>
          </cell>
        </row>
        <row r="176">
          <cell r="E176" t="str">
            <v>202309012512</v>
          </cell>
          <cell r="F176">
            <v>111.25</v>
          </cell>
        </row>
        <row r="177">
          <cell r="E177" t="str">
            <v>202309014127</v>
          </cell>
          <cell r="F177">
            <v>111.14</v>
          </cell>
        </row>
        <row r="178">
          <cell r="E178" t="str">
            <v>202309013207</v>
          </cell>
          <cell r="F178">
            <v>110.5</v>
          </cell>
        </row>
        <row r="179">
          <cell r="E179" t="str">
            <v>202309014018</v>
          </cell>
          <cell r="F179">
            <v>110.32</v>
          </cell>
        </row>
        <row r="180">
          <cell r="E180" t="str">
            <v>202309014125</v>
          </cell>
          <cell r="F180">
            <v>110.26</v>
          </cell>
        </row>
        <row r="181">
          <cell r="E181" t="str">
            <v>202309013417</v>
          </cell>
          <cell r="F181">
            <v>109.93</v>
          </cell>
        </row>
        <row r="182">
          <cell r="E182" t="str">
            <v>202309013424</v>
          </cell>
          <cell r="F182">
            <v>109.86</v>
          </cell>
        </row>
        <row r="183">
          <cell r="E183" t="str">
            <v>202309013721</v>
          </cell>
          <cell r="F183">
            <v>109.62</v>
          </cell>
        </row>
        <row r="184">
          <cell r="E184" t="str">
            <v>202309014023</v>
          </cell>
          <cell r="F184">
            <v>109.62</v>
          </cell>
        </row>
        <row r="185">
          <cell r="E185" t="str">
            <v>202309012610</v>
          </cell>
          <cell r="F185">
            <v>109.46</v>
          </cell>
        </row>
        <row r="186">
          <cell r="E186" t="str">
            <v>202309013821</v>
          </cell>
          <cell r="F186">
            <v>109.46</v>
          </cell>
        </row>
        <row r="187">
          <cell r="E187" t="str">
            <v>202309013916</v>
          </cell>
          <cell r="F187">
            <v>109.44</v>
          </cell>
        </row>
        <row r="188">
          <cell r="E188" t="str">
            <v>202309013327</v>
          </cell>
          <cell r="F188">
            <v>109.36</v>
          </cell>
        </row>
        <row r="189">
          <cell r="E189" t="str">
            <v>202309013719</v>
          </cell>
          <cell r="F189">
            <v>109.34</v>
          </cell>
        </row>
        <row r="190">
          <cell r="E190" t="str">
            <v>202309012719</v>
          </cell>
          <cell r="F190">
            <v>109.28</v>
          </cell>
        </row>
        <row r="191">
          <cell r="E191" t="str">
            <v>202309012609</v>
          </cell>
          <cell r="F191">
            <v>108.77</v>
          </cell>
        </row>
        <row r="192">
          <cell r="E192" t="str">
            <v>202309013106</v>
          </cell>
          <cell r="F192">
            <v>108.23</v>
          </cell>
        </row>
        <row r="193">
          <cell r="E193" t="str">
            <v>202309013622</v>
          </cell>
          <cell r="F193">
            <v>108.18</v>
          </cell>
        </row>
        <row r="194">
          <cell r="E194" t="str">
            <v>202309013905</v>
          </cell>
          <cell r="F194">
            <v>108.12</v>
          </cell>
        </row>
        <row r="195">
          <cell r="E195" t="str">
            <v>202309013606</v>
          </cell>
          <cell r="F195">
            <v>108.05</v>
          </cell>
        </row>
        <row r="196">
          <cell r="E196" t="str">
            <v>202309013105</v>
          </cell>
          <cell r="F196">
            <v>108.02</v>
          </cell>
        </row>
        <row r="197">
          <cell r="E197" t="str">
            <v>202309013429</v>
          </cell>
          <cell r="F197">
            <v>107.99</v>
          </cell>
        </row>
        <row r="198">
          <cell r="E198" t="str">
            <v>202309013427</v>
          </cell>
          <cell r="F198">
            <v>107.95</v>
          </cell>
        </row>
        <row r="199">
          <cell r="E199" t="str">
            <v>202309013825</v>
          </cell>
          <cell r="F199">
            <v>107.94</v>
          </cell>
        </row>
        <row r="200">
          <cell r="E200" t="str">
            <v>202309014319</v>
          </cell>
          <cell r="F200">
            <v>107.94</v>
          </cell>
        </row>
        <row r="201">
          <cell r="E201" t="str">
            <v>202309012919</v>
          </cell>
          <cell r="F201">
            <v>107.84</v>
          </cell>
        </row>
        <row r="202">
          <cell r="E202" t="str">
            <v>202309014013</v>
          </cell>
          <cell r="F202">
            <v>107.66</v>
          </cell>
        </row>
        <row r="203">
          <cell r="E203" t="str">
            <v>202309020720</v>
          </cell>
          <cell r="F203">
            <v>126.76</v>
          </cell>
        </row>
        <row r="204">
          <cell r="E204" t="str">
            <v>202309016613</v>
          </cell>
          <cell r="F204">
            <v>124.05</v>
          </cell>
        </row>
        <row r="205">
          <cell r="E205" t="str">
            <v>202309016604</v>
          </cell>
          <cell r="F205">
            <v>120.85</v>
          </cell>
        </row>
        <row r="206">
          <cell r="E206" t="str">
            <v>202309016607</v>
          </cell>
          <cell r="F206">
            <v>120.52</v>
          </cell>
        </row>
        <row r="207">
          <cell r="E207" t="str">
            <v>202309021128</v>
          </cell>
          <cell r="F207">
            <v>118.49</v>
          </cell>
        </row>
        <row r="208">
          <cell r="E208" t="str">
            <v>202309015001</v>
          </cell>
          <cell r="F208">
            <v>116.6</v>
          </cell>
        </row>
        <row r="209">
          <cell r="E209" t="str">
            <v>202309015303</v>
          </cell>
          <cell r="F209">
            <v>116.11</v>
          </cell>
        </row>
        <row r="210">
          <cell r="E210" t="str">
            <v>202309021421</v>
          </cell>
          <cell r="F210">
            <v>116.06</v>
          </cell>
        </row>
        <row r="211">
          <cell r="E211" t="str">
            <v>202309020605</v>
          </cell>
          <cell r="F211">
            <v>115.99</v>
          </cell>
        </row>
        <row r="212">
          <cell r="E212" t="str">
            <v>202309021215</v>
          </cell>
          <cell r="F212">
            <v>115.7</v>
          </cell>
        </row>
        <row r="213">
          <cell r="E213" t="str">
            <v>202309020907</v>
          </cell>
          <cell r="F213">
            <v>115.65</v>
          </cell>
        </row>
        <row r="214">
          <cell r="E214" t="str">
            <v>202309021414</v>
          </cell>
          <cell r="F214">
            <v>115.65</v>
          </cell>
        </row>
        <row r="215">
          <cell r="E215" t="str">
            <v>202309021822</v>
          </cell>
          <cell r="F215">
            <v>115.24</v>
          </cell>
        </row>
        <row r="216">
          <cell r="E216" t="str">
            <v>202309015523</v>
          </cell>
          <cell r="F216">
            <v>115.18</v>
          </cell>
        </row>
        <row r="217">
          <cell r="E217" t="str">
            <v>202309014511</v>
          </cell>
          <cell r="F217">
            <v>115.03</v>
          </cell>
        </row>
        <row r="218">
          <cell r="E218" t="str">
            <v>202309015516</v>
          </cell>
          <cell r="F218">
            <v>115.01</v>
          </cell>
        </row>
        <row r="219">
          <cell r="E219" t="str">
            <v>202309016329</v>
          </cell>
          <cell r="F219">
            <v>114.77</v>
          </cell>
        </row>
        <row r="220">
          <cell r="E220" t="str">
            <v>202309015724</v>
          </cell>
          <cell r="F220">
            <v>114.6</v>
          </cell>
        </row>
        <row r="221">
          <cell r="E221" t="str">
            <v>202309014919</v>
          </cell>
          <cell r="F221">
            <v>114.1</v>
          </cell>
        </row>
        <row r="222">
          <cell r="E222" t="str">
            <v>202309021413</v>
          </cell>
          <cell r="F222">
            <v>113.97</v>
          </cell>
        </row>
        <row r="223">
          <cell r="E223" t="str">
            <v>202309021602</v>
          </cell>
          <cell r="F223">
            <v>113.69</v>
          </cell>
        </row>
        <row r="224">
          <cell r="E224" t="str">
            <v>202309015315</v>
          </cell>
          <cell r="F224">
            <v>113.33</v>
          </cell>
        </row>
        <row r="225">
          <cell r="E225" t="str">
            <v>202309016213</v>
          </cell>
          <cell r="F225">
            <v>113.28</v>
          </cell>
        </row>
        <row r="226">
          <cell r="E226" t="str">
            <v>202309014527</v>
          </cell>
          <cell r="F226">
            <v>113.23</v>
          </cell>
        </row>
        <row r="227">
          <cell r="E227" t="str">
            <v>202309021310</v>
          </cell>
          <cell r="F227">
            <v>113.1</v>
          </cell>
        </row>
        <row r="228">
          <cell r="E228" t="str">
            <v>202309014808</v>
          </cell>
          <cell r="F228">
            <v>112.99</v>
          </cell>
        </row>
        <row r="229">
          <cell r="E229" t="str">
            <v>202309015225</v>
          </cell>
          <cell r="F229">
            <v>112.99</v>
          </cell>
        </row>
        <row r="230">
          <cell r="E230" t="str">
            <v>202309021028</v>
          </cell>
          <cell r="F230">
            <v>112.97</v>
          </cell>
        </row>
        <row r="231">
          <cell r="E231" t="str">
            <v>202309016402</v>
          </cell>
          <cell r="F231">
            <v>112.79</v>
          </cell>
        </row>
        <row r="232">
          <cell r="E232" t="str">
            <v>202309014505</v>
          </cell>
          <cell r="F232">
            <v>112.48</v>
          </cell>
        </row>
        <row r="233">
          <cell r="E233" t="str">
            <v>202309020821</v>
          </cell>
          <cell r="F233">
            <v>112.3</v>
          </cell>
        </row>
        <row r="234">
          <cell r="E234" t="str">
            <v>202309022030</v>
          </cell>
          <cell r="F234">
            <v>112.3</v>
          </cell>
        </row>
        <row r="235">
          <cell r="E235" t="str">
            <v>202309016916</v>
          </cell>
          <cell r="F235">
            <v>112.17</v>
          </cell>
        </row>
        <row r="236">
          <cell r="E236" t="str">
            <v>202309020414</v>
          </cell>
          <cell r="F236">
            <v>112.02</v>
          </cell>
        </row>
        <row r="237">
          <cell r="E237" t="str">
            <v>202309020123</v>
          </cell>
          <cell r="F237">
            <v>111.89</v>
          </cell>
        </row>
        <row r="238">
          <cell r="E238" t="str">
            <v>202309021104</v>
          </cell>
          <cell r="F238">
            <v>111.55</v>
          </cell>
        </row>
        <row r="239">
          <cell r="E239" t="str">
            <v>202309020323</v>
          </cell>
          <cell r="F239">
            <v>111.53</v>
          </cell>
        </row>
        <row r="240">
          <cell r="E240" t="str">
            <v>202309021610</v>
          </cell>
          <cell r="F240">
            <v>111.5</v>
          </cell>
        </row>
        <row r="241">
          <cell r="E241" t="str">
            <v>202309016218</v>
          </cell>
          <cell r="F241">
            <v>111.48</v>
          </cell>
        </row>
        <row r="242">
          <cell r="E242" t="str">
            <v>202309015306</v>
          </cell>
          <cell r="F242">
            <v>111.42</v>
          </cell>
        </row>
        <row r="243">
          <cell r="E243" t="str">
            <v>202309015413</v>
          </cell>
          <cell r="F243">
            <v>111.19</v>
          </cell>
        </row>
        <row r="244">
          <cell r="E244" t="str">
            <v>202309017011</v>
          </cell>
          <cell r="F244">
            <v>111.14</v>
          </cell>
        </row>
        <row r="245">
          <cell r="E245" t="str">
            <v>202309016104</v>
          </cell>
          <cell r="F245">
            <v>111.09</v>
          </cell>
        </row>
        <row r="246">
          <cell r="E246" t="str">
            <v>202309021114</v>
          </cell>
          <cell r="F246">
            <v>111.03</v>
          </cell>
        </row>
        <row r="247">
          <cell r="E247" t="str">
            <v>202309014620</v>
          </cell>
          <cell r="F247">
            <v>110.96</v>
          </cell>
        </row>
        <row r="248">
          <cell r="E248" t="str">
            <v>202309015919</v>
          </cell>
          <cell r="F248">
            <v>110.96</v>
          </cell>
        </row>
        <row r="249">
          <cell r="E249" t="str">
            <v>202309015629</v>
          </cell>
          <cell r="F249">
            <v>110.91</v>
          </cell>
        </row>
        <row r="250">
          <cell r="E250" t="str">
            <v>202309014827</v>
          </cell>
          <cell r="F250">
            <v>110.8</v>
          </cell>
        </row>
        <row r="251">
          <cell r="E251" t="str">
            <v>202309022119</v>
          </cell>
          <cell r="F251">
            <v>110.67</v>
          </cell>
        </row>
        <row r="252">
          <cell r="E252" t="str">
            <v>202309021124</v>
          </cell>
          <cell r="F252">
            <v>110.5</v>
          </cell>
        </row>
        <row r="253">
          <cell r="E253" t="str">
            <v>202309014906</v>
          </cell>
          <cell r="F253">
            <v>110.39</v>
          </cell>
        </row>
        <row r="254">
          <cell r="E254" t="str">
            <v>202309015821</v>
          </cell>
          <cell r="F254">
            <v>110.39</v>
          </cell>
        </row>
        <row r="255">
          <cell r="E255" t="str">
            <v>202309016130</v>
          </cell>
          <cell r="F255">
            <v>110.39</v>
          </cell>
        </row>
        <row r="256">
          <cell r="E256" t="str">
            <v>202309016527</v>
          </cell>
          <cell r="F256">
            <v>110.39</v>
          </cell>
        </row>
        <row r="257">
          <cell r="E257" t="str">
            <v>202309020819</v>
          </cell>
          <cell r="F257">
            <v>110.39</v>
          </cell>
        </row>
        <row r="258">
          <cell r="E258" t="str">
            <v>202309021915</v>
          </cell>
          <cell r="F258">
            <v>110.39</v>
          </cell>
        </row>
        <row r="259">
          <cell r="E259" t="str">
            <v>202309014509</v>
          </cell>
          <cell r="F259">
            <v>110.08</v>
          </cell>
        </row>
        <row r="260">
          <cell r="E260" t="str">
            <v>202309024021</v>
          </cell>
          <cell r="F260">
            <v>126.3</v>
          </cell>
        </row>
        <row r="261">
          <cell r="E261" t="str">
            <v>202309024228</v>
          </cell>
          <cell r="F261">
            <v>125.03</v>
          </cell>
        </row>
        <row r="262">
          <cell r="E262" t="str">
            <v>202309022523</v>
          </cell>
          <cell r="F262">
            <v>124.05</v>
          </cell>
        </row>
        <row r="263">
          <cell r="E263" t="str">
            <v>202309024316</v>
          </cell>
          <cell r="F263">
            <v>123.82</v>
          </cell>
        </row>
        <row r="264">
          <cell r="E264" t="str">
            <v>202309023217</v>
          </cell>
          <cell r="F264">
            <v>123.64</v>
          </cell>
        </row>
        <row r="265">
          <cell r="E265" t="str">
            <v>202309022913</v>
          </cell>
          <cell r="F265">
            <v>123.07</v>
          </cell>
        </row>
        <row r="266">
          <cell r="E266" t="str">
            <v>202309023427</v>
          </cell>
          <cell r="F266">
            <v>123.07</v>
          </cell>
        </row>
        <row r="267">
          <cell r="E267" t="str">
            <v>202309022324</v>
          </cell>
          <cell r="F267">
            <v>122.37</v>
          </cell>
        </row>
        <row r="268">
          <cell r="E268" t="str">
            <v>202309024112</v>
          </cell>
          <cell r="F268">
            <v>122.2</v>
          </cell>
        </row>
        <row r="269">
          <cell r="E269" t="str">
            <v>202309022730</v>
          </cell>
          <cell r="F269">
            <v>121.96</v>
          </cell>
        </row>
        <row r="270">
          <cell r="E270" t="str">
            <v>202309022728</v>
          </cell>
          <cell r="F270">
            <v>121.86</v>
          </cell>
        </row>
        <row r="271">
          <cell r="E271" t="str">
            <v>202309023418</v>
          </cell>
          <cell r="F271">
            <v>121.37</v>
          </cell>
        </row>
        <row r="272">
          <cell r="E272" t="str">
            <v>202309024501</v>
          </cell>
          <cell r="F272">
            <v>121.22</v>
          </cell>
        </row>
        <row r="273">
          <cell r="E273" t="str">
            <v>202309024604</v>
          </cell>
          <cell r="F273">
            <v>121.14</v>
          </cell>
        </row>
        <row r="274">
          <cell r="E274" t="str">
            <v>202309024013</v>
          </cell>
          <cell r="F274">
            <v>121.03</v>
          </cell>
        </row>
        <row r="275">
          <cell r="E275" t="str">
            <v>202309022420</v>
          </cell>
          <cell r="F275">
            <v>120.34</v>
          </cell>
        </row>
        <row r="276">
          <cell r="E276" t="str">
            <v>202309024716</v>
          </cell>
          <cell r="F276">
            <v>119.95</v>
          </cell>
        </row>
        <row r="277">
          <cell r="E277" t="str">
            <v>202309023206</v>
          </cell>
          <cell r="F277">
            <v>119.7</v>
          </cell>
        </row>
        <row r="278">
          <cell r="E278" t="str">
            <v>202309022624</v>
          </cell>
          <cell r="F278">
            <v>119.59</v>
          </cell>
        </row>
        <row r="279">
          <cell r="E279" t="str">
            <v>202309022606</v>
          </cell>
          <cell r="F279">
            <v>119.41</v>
          </cell>
        </row>
        <row r="280">
          <cell r="E280" t="str">
            <v>202309023407</v>
          </cell>
          <cell r="F280">
            <v>119.36</v>
          </cell>
        </row>
        <row r="281">
          <cell r="E281" t="str">
            <v>202309024425</v>
          </cell>
          <cell r="F281">
            <v>119.2</v>
          </cell>
        </row>
        <row r="282">
          <cell r="E282" t="str">
            <v>202309022924</v>
          </cell>
          <cell r="F282">
            <v>119.18</v>
          </cell>
        </row>
        <row r="283">
          <cell r="E283" t="str">
            <v>202309023327</v>
          </cell>
          <cell r="F283">
            <v>119.13</v>
          </cell>
        </row>
        <row r="284">
          <cell r="E284" t="str">
            <v>202309024514</v>
          </cell>
          <cell r="F284">
            <v>118.95</v>
          </cell>
        </row>
        <row r="285">
          <cell r="E285" t="str">
            <v>202309023415</v>
          </cell>
          <cell r="F285">
            <v>118.66</v>
          </cell>
        </row>
        <row r="286">
          <cell r="E286" t="str">
            <v>202309022905</v>
          </cell>
          <cell r="F286">
            <v>118.61</v>
          </cell>
        </row>
        <row r="287">
          <cell r="E287" t="str">
            <v>202309022816</v>
          </cell>
          <cell r="F287">
            <v>118.38</v>
          </cell>
        </row>
        <row r="288">
          <cell r="E288" t="str">
            <v>202309023620</v>
          </cell>
          <cell r="F288">
            <v>117.89</v>
          </cell>
        </row>
        <row r="289">
          <cell r="E289" t="str">
            <v>202309023912</v>
          </cell>
          <cell r="F289">
            <v>117.86</v>
          </cell>
        </row>
        <row r="290">
          <cell r="E290" t="str">
            <v>202309022508</v>
          </cell>
          <cell r="F290">
            <v>117.74</v>
          </cell>
        </row>
        <row r="291">
          <cell r="E291" t="str">
            <v>202309022309</v>
          </cell>
          <cell r="F291">
            <v>116.98</v>
          </cell>
        </row>
        <row r="292">
          <cell r="E292" t="str">
            <v>202309024423</v>
          </cell>
          <cell r="F292">
            <v>116.86</v>
          </cell>
        </row>
        <row r="293">
          <cell r="E293" t="str">
            <v>202309024622</v>
          </cell>
          <cell r="F293">
            <v>116.84</v>
          </cell>
        </row>
        <row r="294">
          <cell r="E294" t="str">
            <v>202309023426</v>
          </cell>
          <cell r="F294">
            <v>116.81</v>
          </cell>
        </row>
        <row r="295">
          <cell r="E295" t="str">
            <v>202309023608</v>
          </cell>
          <cell r="F295">
            <v>116.58</v>
          </cell>
        </row>
        <row r="296">
          <cell r="E296" t="str">
            <v>202309023615</v>
          </cell>
          <cell r="F296">
            <v>116.58</v>
          </cell>
        </row>
        <row r="297">
          <cell r="E297" t="str">
            <v>202309024520</v>
          </cell>
          <cell r="F297">
            <v>116.4</v>
          </cell>
        </row>
        <row r="298">
          <cell r="E298" t="str">
            <v>202309024517</v>
          </cell>
          <cell r="F298">
            <v>116.35</v>
          </cell>
        </row>
        <row r="299">
          <cell r="E299" t="str">
            <v>202309022227</v>
          </cell>
          <cell r="F299">
            <v>116.22</v>
          </cell>
        </row>
        <row r="300">
          <cell r="E300" t="str">
            <v>202309023907</v>
          </cell>
          <cell r="F300">
            <v>116.22</v>
          </cell>
        </row>
        <row r="301">
          <cell r="E301" t="str">
            <v>202309023026</v>
          </cell>
          <cell r="F301">
            <v>116.11</v>
          </cell>
        </row>
        <row r="302">
          <cell r="E302" t="str">
            <v>202309024505</v>
          </cell>
          <cell r="F302">
            <v>116.11</v>
          </cell>
        </row>
        <row r="303">
          <cell r="E303" t="str">
            <v>202309022217</v>
          </cell>
          <cell r="F303">
            <v>116.06</v>
          </cell>
        </row>
        <row r="304">
          <cell r="E304" t="str">
            <v>202309022828</v>
          </cell>
          <cell r="F304">
            <v>116.06</v>
          </cell>
        </row>
        <row r="305">
          <cell r="E305" t="str">
            <v>202309022218</v>
          </cell>
          <cell r="F305">
            <v>115.93</v>
          </cell>
        </row>
        <row r="306">
          <cell r="E306" t="str">
            <v>202309023009</v>
          </cell>
          <cell r="F306">
            <v>115.93</v>
          </cell>
        </row>
        <row r="307">
          <cell r="E307" t="str">
            <v>202309022228</v>
          </cell>
          <cell r="F307">
            <v>115.83</v>
          </cell>
        </row>
        <row r="308">
          <cell r="E308" t="str">
            <v>202309023106</v>
          </cell>
          <cell r="F308">
            <v>115.65</v>
          </cell>
        </row>
        <row r="309">
          <cell r="E309" t="str">
            <v>202309024602</v>
          </cell>
          <cell r="F309">
            <v>115.65</v>
          </cell>
        </row>
        <row r="310">
          <cell r="E310" t="str">
            <v>202309024330</v>
          </cell>
          <cell r="F310">
            <v>115.6</v>
          </cell>
        </row>
        <row r="311">
          <cell r="E311" t="str">
            <v>202309022408</v>
          </cell>
          <cell r="F311">
            <v>115.55</v>
          </cell>
        </row>
        <row r="312">
          <cell r="E312" t="str">
            <v>202309022501</v>
          </cell>
          <cell r="F312">
            <v>115.5</v>
          </cell>
        </row>
        <row r="313">
          <cell r="E313" t="str">
            <v>202309024403</v>
          </cell>
          <cell r="F313">
            <v>115.49</v>
          </cell>
        </row>
        <row r="314">
          <cell r="E314" t="str">
            <v>202309024730</v>
          </cell>
          <cell r="F314">
            <v>115.49</v>
          </cell>
        </row>
        <row r="315">
          <cell r="E315" t="str">
            <v>202309024327</v>
          </cell>
          <cell r="F315">
            <v>115.47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1"/>
  <sheetViews>
    <sheetView tabSelected="1" workbookViewId="0">
      <selection activeCell="K1" sqref="K1"/>
    </sheetView>
  </sheetViews>
  <sheetFormatPr defaultColWidth="9" defaultRowHeight="35" customHeight="1"/>
  <cols>
    <col min="1" max="1" width="6" style="1" customWidth="1"/>
    <col min="2" max="2" width="9.75" style="1" customWidth="1"/>
    <col min="3" max="3" width="10.75" style="2" customWidth="1"/>
    <col min="4" max="4" width="6.875" style="1" customWidth="1"/>
    <col min="5" max="5" width="15.125" style="1" customWidth="1"/>
    <col min="6" max="6" width="13.625" style="2" customWidth="1"/>
    <col min="7" max="7" width="10.25" style="3" customWidth="1"/>
    <col min="8" max="8" width="11.625" style="4" customWidth="1"/>
    <col min="9" max="9" width="16.5" style="4" customWidth="1"/>
    <col min="10" max="16377" width="9" style="1"/>
  </cols>
  <sheetData>
    <row r="1" ht="71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81" customHeight="1" spans="1:9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8" t="s">
        <v>6</v>
      </c>
      <c r="G2" s="9" t="s">
        <v>7</v>
      </c>
      <c r="H2" s="10" t="s">
        <v>8</v>
      </c>
      <c r="I2" s="10" t="s">
        <v>9</v>
      </c>
    </row>
    <row r="3" s="1" customFormat="1" customHeight="1" spans="1:9">
      <c r="A3" s="11">
        <v>1</v>
      </c>
      <c r="B3" s="12" t="s">
        <v>10</v>
      </c>
      <c r="C3" s="13">
        <v>20230906</v>
      </c>
      <c r="D3" s="14" t="s">
        <v>11</v>
      </c>
      <c r="E3" s="12" t="str">
        <f>"202309011215"</f>
        <v>202309011215</v>
      </c>
      <c r="F3" s="15">
        <v>202311110132</v>
      </c>
      <c r="G3" s="16">
        <f>VLOOKUP(E3,[1]笔试排名!$E$3:$F$315,2,0)</f>
        <v>87.59</v>
      </c>
      <c r="H3" s="17">
        <v>75.6</v>
      </c>
      <c r="I3" s="17">
        <v>65.276</v>
      </c>
    </row>
    <row r="4" s="1" customFormat="1" customHeight="1" spans="1:9">
      <c r="A4" s="11">
        <v>2</v>
      </c>
      <c r="B4" s="12" t="s">
        <v>12</v>
      </c>
      <c r="C4" s="13">
        <v>20230906</v>
      </c>
      <c r="D4" s="14" t="s">
        <v>11</v>
      </c>
      <c r="E4" s="12" t="str">
        <f>"202309011214"</f>
        <v>202309011214</v>
      </c>
      <c r="F4" s="15">
        <v>202311110131</v>
      </c>
      <c r="G4" s="16">
        <f>VLOOKUP(E4,[1]笔试排名!$E$3:$F$315,2,0)</f>
        <v>115.65</v>
      </c>
      <c r="H4" s="17">
        <v>69.2</v>
      </c>
      <c r="I4" s="17">
        <v>73.94</v>
      </c>
    </row>
    <row r="5" s="1" customFormat="1" customHeight="1" spans="1:9">
      <c r="A5" s="11">
        <v>3</v>
      </c>
      <c r="B5" s="12" t="s">
        <v>13</v>
      </c>
      <c r="C5" s="13">
        <v>20230903</v>
      </c>
      <c r="D5" s="14" t="s">
        <v>11</v>
      </c>
      <c r="E5" s="12" t="str">
        <f>"202309010101"</f>
        <v>202309010101</v>
      </c>
      <c r="F5" s="15">
        <v>202311110123</v>
      </c>
      <c r="G5" s="16">
        <f>VLOOKUP(E5,[1]笔试排名!$E$3:$F$315,2,0)</f>
        <v>104.72</v>
      </c>
      <c r="H5" s="17">
        <v>76</v>
      </c>
      <c r="I5" s="17">
        <v>72.288</v>
      </c>
    </row>
    <row r="6" s="1" customFormat="1" customHeight="1" spans="1:9">
      <c r="A6" s="11">
        <v>4</v>
      </c>
      <c r="B6" s="12" t="s">
        <v>14</v>
      </c>
      <c r="C6" s="13">
        <v>20230903</v>
      </c>
      <c r="D6" s="14" t="s">
        <v>11</v>
      </c>
      <c r="E6" s="12" t="str">
        <f>"202309010110"</f>
        <v>202309010110</v>
      </c>
      <c r="F6" s="15">
        <v>202311110118</v>
      </c>
      <c r="G6" s="16">
        <f>VLOOKUP(E6,[1]笔试排名!$E$3:$F$315,2,0)</f>
        <v>115.42</v>
      </c>
      <c r="H6" s="17">
        <v>79.2</v>
      </c>
      <c r="I6" s="17">
        <v>77.848</v>
      </c>
    </row>
    <row r="7" s="1" customFormat="1" customHeight="1" spans="1:9">
      <c r="A7" s="11">
        <v>5</v>
      </c>
      <c r="B7" s="12" t="s">
        <v>15</v>
      </c>
      <c r="C7" s="13">
        <v>20230903</v>
      </c>
      <c r="D7" s="14" t="s">
        <v>11</v>
      </c>
      <c r="E7" s="12" t="str">
        <f>"202309010104"</f>
        <v>202309010104</v>
      </c>
      <c r="F7" s="15">
        <v>202311110119</v>
      </c>
      <c r="G7" s="16">
        <f>VLOOKUP(E7,[1]笔试排名!$E$3:$F$315,2,0)</f>
        <v>113</v>
      </c>
      <c r="H7" s="17">
        <v>74.7</v>
      </c>
      <c r="I7" s="17">
        <v>75.08</v>
      </c>
    </row>
    <row r="8" s="1" customFormat="1" customHeight="1" spans="1:9">
      <c r="A8" s="11">
        <v>6</v>
      </c>
      <c r="B8" s="12" t="s">
        <v>16</v>
      </c>
      <c r="C8" s="13">
        <v>20230903</v>
      </c>
      <c r="D8" s="14" t="s">
        <v>11</v>
      </c>
      <c r="E8" s="12" t="str">
        <f>"202309010117"</f>
        <v>202309010117</v>
      </c>
      <c r="F8" s="15">
        <v>202311110117</v>
      </c>
      <c r="G8" s="16">
        <f>VLOOKUP(E8,[1]笔试排名!$E$3:$F$315,2,0)</f>
        <v>116.99</v>
      </c>
      <c r="H8" s="17" t="s">
        <v>17</v>
      </c>
      <c r="I8" s="17">
        <v>46.796</v>
      </c>
    </row>
    <row r="9" s="1" customFormat="1" customHeight="1" spans="1:9">
      <c r="A9" s="11">
        <v>7</v>
      </c>
      <c r="B9" s="12" t="s">
        <v>18</v>
      </c>
      <c r="C9" s="13">
        <v>20230903</v>
      </c>
      <c r="D9" s="14" t="s">
        <v>11</v>
      </c>
      <c r="E9" s="12" t="str">
        <f>"202309010118"</f>
        <v>202309010118</v>
      </c>
      <c r="F9" s="15">
        <v>202311110116</v>
      </c>
      <c r="G9" s="16">
        <f>VLOOKUP(E9,[1]笔试排名!$E$3:$F$315,2,0)</f>
        <v>117.87</v>
      </c>
      <c r="H9" s="17">
        <v>71.8</v>
      </c>
      <c r="I9" s="17">
        <v>75.868</v>
      </c>
    </row>
    <row r="10" s="1" customFormat="1" customHeight="1" spans="1:9">
      <c r="A10" s="11">
        <v>8</v>
      </c>
      <c r="B10" s="12" t="s">
        <v>19</v>
      </c>
      <c r="C10" s="13">
        <v>20230903</v>
      </c>
      <c r="D10" s="14" t="s">
        <v>11</v>
      </c>
      <c r="E10" s="12" t="str">
        <f>"202309010103"</f>
        <v>202309010103</v>
      </c>
      <c r="F10" s="15">
        <v>202311110127</v>
      </c>
      <c r="G10" s="16">
        <f>VLOOKUP(E10,[1]笔试排名!$E$3:$F$315,2,0)</f>
        <v>99.26</v>
      </c>
      <c r="H10" s="17">
        <v>76.4</v>
      </c>
      <c r="I10" s="17">
        <v>70.264</v>
      </c>
    </row>
    <row r="11" s="1" customFormat="1" customHeight="1" spans="1:9">
      <c r="A11" s="11">
        <v>9</v>
      </c>
      <c r="B11" s="12" t="s">
        <v>20</v>
      </c>
      <c r="C11" s="13">
        <v>20230903</v>
      </c>
      <c r="D11" s="14" t="s">
        <v>11</v>
      </c>
      <c r="E11" s="12" t="str">
        <f>"202309010121"</f>
        <v>202309010121</v>
      </c>
      <c r="F11" s="15">
        <v>202311110121</v>
      </c>
      <c r="G11" s="16">
        <f>VLOOKUP(E11,[1]笔试排名!$E$3:$F$315,2,0)</f>
        <v>105.81</v>
      </c>
      <c r="H11" s="17" t="s">
        <v>17</v>
      </c>
      <c r="I11" s="17">
        <v>42.324</v>
      </c>
    </row>
    <row r="12" s="1" customFormat="1" customHeight="1" spans="1:9">
      <c r="A12" s="11">
        <v>10</v>
      </c>
      <c r="B12" s="12" t="s">
        <v>21</v>
      </c>
      <c r="C12" s="13">
        <v>20230903</v>
      </c>
      <c r="D12" s="14" t="s">
        <v>11</v>
      </c>
      <c r="E12" s="12" t="str">
        <f>"202309010107"</f>
        <v>202309010107</v>
      </c>
      <c r="F12" s="15">
        <v>202311110125</v>
      </c>
      <c r="G12" s="16">
        <f>VLOOKUP(E12,[1]笔试排名!$E$3:$F$315,2,0)</f>
        <v>102.28</v>
      </c>
      <c r="H12" s="17">
        <v>77.8</v>
      </c>
      <c r="I12" s="17">
        <v>72.032</v>
      </c>
    </row>
    <row r="13" s="1" customFormat="1" customHeight="1" spans="1:9">
      <c r="A13" s="11">
        <v>11</v>
      </c>
      <c r="B13" s="12" t="s">
        <v>22</v>
      </c>
      <c r="C13" s="13">
        <v>20230903</v>
      </c>
      <c r="D13" s="14" t="s">
        <v>11</v>
      </c>
      <c r="E13" s="12" t="str">
        <f>"202309010124"</f>
        <v>202309010124</v>
      </c>
      <c r="F13" s="15">
        <v>202311110122</v>
      </c>
      <c r="G13" s="16">
        <f>VLOOKUP(E13,[1]笔试排名!$E$3:$F$315,2,0)</f>
        <v>105.19</v>
      </c>
      <c r="H13" s="17">
        <v>73.3</v>
      </c>
      <c r="I13" s="17">
        <v>71.396</v>
      </c>
    </row>
    <row r="14" s="1" customFormat="1" customHeight="1" spans="1:9">
      <c r="A14" s="11">
        <v>12</v>
      </c>
      <c r="B14" s="12" t="s">
        <v>23</v>
      </c>
      <c r="C14" s="13">
        <v>20230903</v>
      </c>
      <c r="D14" s="14" t="s">
        <v>11</v>
      </c>
      <c r="E14" s="12" t="str">
        <f>"202309010126"</f>
        <v>202309010126</v>
      </c>
      <c r="F14" s="15">
        <v>202311110129</v>
      </c>
      <c r="G14" s="16">
        <f>VLOOKUP(E14,[1]笔试排名!$E$3:$F$315,2,0)</f>
        <v>93.95</v>
      </c>
      <c r="H14" s="17">
        <v>85.6</v>
      </c>
      <c r="I14" s="17">
        <v>71.82</v>
      </c>
    </row>
    <row r="15" s="1" customFormat="1" customHeight="1" spans="1:9">
      <c r="A15" s="11">
        <v>13</v>
      </c>
      <c r="B15" s="12" t="s">
        <v>24</v>
      </c>
      <c r="C15" s="13">
        <v>20230903</v>
      </c>
      <c r="D15" s="14" t="s">
        <v>11</v>
      </c>
      <c r="E15" s="12" t="str">
        <f>"202309010119"</f>
        <v>202309010119</v>
      </c>
      <c r="F15" s="15">
        <v>202311110113</v>
      </c>
      <c r="G15" s="16">
        <f>VLOOKUP(E15,[1]笔试排名!$E$3:$F$315,2,0)</f>
        <v>126.89</v>
      </c>
      <c r="H15" s="17">
        <v>78.9</v>
      </c>
      <c r="I15" s="17">
        <v>82.316</v>
      </c>
    </row>
    <row r="16" s="1" customFormat="1" customHeight="1" spans="1:9">
      <c r="A16" s="11">
        <v>14</v>
      </c>
      <c r="B16" s="12" t="s">
        <v>25</v>
      </c>
      <c r="C16" s="13">
        <v>20230903</v>
      </c>
      <c r="D16" s="14" t="s">
        <v>11</v>
      </c>
      <c r="E16" s="12" t="str">
        <f>"202309010108"</f>
        <v>202309010108</v>
      </c>
      <c r="F16" s="15">
        <v>202311110124</v>
      </c>
      <c r="G16" s="16">
        <f>VLOOKUP(E16,[1]笔试排名!$E$3:$F$315,2,0)</f>
        <v>103.85</v>
      </c>
      <c r="H16" s="17">
        <v>75.6</v>
      </c>
      <c r="I16" s="17">
        <v>71.78</v>
      </c>
    </row>
    <row r="17" s="1" customFormat="1" customHeight="1" spans="1:9">
      <c r="A17" s="11">
        <v>15</v>
      </c>
      <c r="B17" s="12" t="s">
        <v>26</v>
      </c>
      <c r="C17" s="13">
        <v>20230903</v>
      </c>
      <c r="D17" s="14" t="s">
        <v>11</v>
      </c>
      <c r="E17" s="12" t="str">
        <f>"202309010113"</f>
        <v>202309010113</v>
      </c>
      <c r="F17" s="15">
        <v>202311110120</v>
      </c>
      <c r="G17" s="16">
        <f>VLOOKUP(E17,[1]笔试排名!$E$3:$F$315,2,0)</f>
        <v>110.97</v>
      </c>
      <c r="H17" s="17">
        <v>76.36</v>
      </c>
      <c r="I17" s="17">
        <v>74.932</v>
      </c>
    </row>
    <row r="18" s="1" customFormat="1" customHeight="1" spans="1:9">
      <c r="A18" s="11">
        <v>16</v>
      </c>
      <c r="B18" s="12" t="s">
        <v>27</v>
      </c>
      <c r="C18" s="13">
        <v>20230903</v>
      </c>
      <c r="D18" s="14" t="s">
        <v>11</v>
      </c>
      <c r="E18" s="12" t="str">
        <f>"202309010115"</f>
        <v>202309010115</v>
      </c>
      <c r="F18" s="15">
        <v>202311110126</v>
      </c>
      <c r="G18" s="16">
        <f>VLOOKUP(E18,[1]笔试排名!$E$3:$F$315,2,0)</f>
        <v>100.99</v>
      </c>
      <c r="H18" s="17">
        <v>76.98</v>
      </c>
      <c r="I18" s="17">
        <v>71.188</v>
      </c>
    </row>
    <row r="19" s="1" customFormat="1" customHeight="1" spans="1:9">
      <c r="A19" s="11">
        <v>17</v>
      </c>
      <c r="B19" s="12" t="s">
        <v>28</v>
      </c>
      <c r="C19" s="13">
        <v>20230903</v>
      </c>
      <c r="D19" s="14" t="s">
        <v>11</v>
      </c>
      <c r="E19" s="12" t="str">
        <f>"202309010116"</f>
        <v>202309010116</v>
      </c>
      <c r="F19" s="15">
        <v>202311110115</v>
      </c>
      <c r="G19" s="16">
        <f>VLOOKUP(E19,[1]笔试排名!$E$3:$F$315,2,0)</f>
        <v>118.85</v>
      </c>
      <c r="H19" s="17">
        <v>81</v>
      </c>
      <c r="I19" s="17">
        <v>79.94</v>
      </c>
    </row>
    <row r="20" s="1" customFormat="1" customHeight="1" spans="1:9">
      <c r="A20" s="11">
        <v>18</v>
      </c>
      <c r="B20" s="12" t="s">
        <v>29</v>
      </c>
      <c r="C20" s="13">
        <v>20230903</v>
      </c>
      <c r="D20" s="14" t="s">
        <v>11</v>
      </c>
      <c r="E20" s="12" t="str">
        <f>"202309010111"</f>
        <v>202309010111</v>
      </c>
      <c r="F20" s="15">
        <v>202311110130</v>
      </c>
      <c r="G20" s="16">
        <f>VLOOKUP(E20,[1]笔试排名!$E$3:$F$315,2,0)</f>
        <v>82.36</v>
      </c>
      <c r="H20" s="17" t="s">
        <v>17</v>
      </c>
      <c r="I20" s="17">
        <v>32.944</v>
      </c>
    </row>
    <row r="21" s="1" customFormat="1" customHeight="1" spans="1:9">
      <c r="A21" s="11">
        <v>19</v>
      </c>
      <c r="B21" s="12" t="s">
        <v>30</v>
      </c>
      <c r="C21" s="13">
        <v>20230903</v>
      </c>
      <c r="D21" s="14" t="s">
        <v>11</v>
      </c>
      <c r="E21" s="12" t="str">
        <f>"202309010125"</f>
        <v>202309010125</v>
      </c>
      <c r="F21" s="15">
        <v>202311110128</v>
      </c>
      <c r="G21" s="16">
        <f>VLOOKUP(E21,[1]笔试排名!$E$3:$F$315,2,0)</f>
        <v>94.26</v>
      </c>
      <c r="H21" s="17">
        <v>82.9</v>
      </c>
      <c r="I21" s="17">
        <v>70.864</v>
      </c>
    </row>
    <row r="22" s="1" customFormat="1" customHeight="1" spans="1:9">
      <c r="A22" s="11">
        <v>20</v>
      </c>
      <c r="B22" s="12" t="s">
        <v>31</v>
      </c>
      <c r="C22" s="13">
        <v>20230903</v>
      </c>
      <c r="D22" s="14" t="s">
        <v>11</v>
      </c>
      <c r="E22" s="12" t="str">
        <f>"202309010106"</f>
        <v>202309010106</v>
      </c>
      <c r="F22" s="15">
        <v>202311110114</v>
      </c>
      <c r="G22" s="16">
        <f>VLOOKUP(E22,[1]笔试排名!$E$3:$F$315,2,0)</f>
        <v>119.36</v>
      </c>
      <c r="H22" s="17">
        <v>76</v>
      </c>
      <c r="I22" s="17">
        <v>78.144</v>
      </c>
    </row>
    <row r="23" s="1" customFormat="1" customHeight="1" spans="1:9">
      <c r="A23" s="11">
        <v>21</v>
      </c>
      <c r="B23" s="12" t="s">
        <v>32</v>
      </c>
      <c r="C23" s="13">
        <v>20230901</v>
      </c>
      <c r="D23" s="14" t="s">
        <v>11</v>
      </c>
      <c r="E23" s="12" t="str">
        <f>"202309011030"</f>
        <v>202309011030</v>
      </c>
      <c r="F23" s="15">
        <v>202311110101</v>
      </c>
      <c r="G23" s="16">
        <f>VLOOKUP(E23,[1]笔试排名!$E$3:$F$315,2,0)</f>
        <v>102.33</v>
      </c>
      <c r="H23" s="17">
        <v>76.4</v>
      </c>
      <c r="I23" s="17">
        <v>71.492</v>
      </c>
    </row>
    <row r="24" s="1" customFormat="1" customHeight="1" spans="1:9">
      <c r="A24" s="11">
        <v>22</v>
      </c>
      <c r="B24" s="12" t="s">
        <v>33</v>
      </c>
      <c r="C24" s="13">
        <v>20230901</v>
      </c>
      <c r="D24" s="14" t="s">
        <v>11</v>
      </c>
      <c r="E24" s="12" t="str">
        <f>"202309011102"</f>
        <v>202309011102</v>
      </c>
      <c r="F24" s="15">
        <v>202311110109</v>
      </c>
      <c r="G24" s="16">
        <f>VLOOKUP(E24,[1]笔试排名!$E$3:$F$315,2,0)</f>
        <v>85.04</v>
      </c>
      <c r="H24" s="17">
        <v>72.8</v>
      </c>
      <c r="I24" s="17">
        <v>63.136</v>
      </c>
    </row>
    <row r="25" s="1" customFormat="1" customHeight="1" spans="1:9">
      <c r="A25" s="11">
        <v>23</v>
      </c>
      <c r="B25" s="12" t="s">
        <v>34</v>
      </c>
      <c r="C25" s="13">
        <v>20230901</v>
      </c>
      <c r="D25" s="14" t="s">
        <v>11</v>
      </c>
      <c r="E25" s="12" t="str">
        <f>"202309011021"</f>
        <v>202309011021</v>
      </c>
      <c r="F25" s="15">
        <v>202311110104</v>
      </c>
      <c r="G25" s="16">
        <f>VLOOKUP(E25,[1]笔试排名!$E$3:$F$315,2,0)</f>
        <v>90.91</v>
      </c>
      <c r="H25" s="17">
        <v>79.2</v>
      </c>
      <c r="I25" s="17">
        <v>68.044</v>
      </c>
    </row>
    <row r="26" s="1" customFormat="1" customHeight="1" spans="1:9">
      <c r="A26" s="11">
        <v>24</v>
      </c>
      <c r="B26" s="12" t="s">
        <v>35</v>
      </c>
      <c r="C26" s="13">
        <v>20230901</v>
      </c>
      <c r="D26" s="14" t="s">
        <v>11</v>
      </c>
      <c r="E26" s="12" t="str">
        <f>"202309011104"</f>
        <v>202309011104</v>
      </c>
      <c r="F26" s="15">
        <v>202311110103</v>
      </c>
      <c r="G26" s="16">
        <f>VLOOKUP(E26,[1]笔试排名!$E$3:$F$315,2,0)</f>
        <v>92.07</v>
      </c>
      <c r="H26" s="17">
        <v>75.8</v>
      </c>
      <c r="I26" s="17">
        <v>67.148</v>
      </c>
    </row>
    <row r="27" s="1" customFormat="1" customHeight="1" spans="1:9">
      <c r="A27" s="11">
        <v>25</v>
      </c>
      <c r="B27" s="12" t="s">
        <v>36</v>
      </c>
      <c r="C27" s="13">
        <v>20230901</v>
      </c>
      <c r="D27" s="14" t="s">
        <v>11</v>
      </c>
      <c r="E27" s="12" t="str">
        <f>"202309011023"</f>
        <v>202309011023</v>
      </c>
      <c r="F27" s="15">
        <v>202311110112</v>
      </c>
      <c r="G27" s="16">
        <f>VLOOKUP(E27,[1]笔试排名!$E$3:$F$315,2,0)</f>
        <v>82.3</v>
      </c>
      <c r="H27" s="17">
        <v>76.1</v>
      </c>
      <c r="I27" s="17">
        <v>63.36</v>
      </c>
    </row>
    <row r="28" s="1" customFormat="1" customHeight="1" spans="1:9">
      <c r="A28" s="11">
        <v>26</v>
      </c>
      <c r="B28" s="12" t="s">
        <v>37</v>
      </c>
      <c r="C28" s="13">
        <v>20230901</v>
      </c>
      <c r="D28" s="14" t="s">
        <v>11</v>
      </c>
      <c r="E28" s="12" t="str">
        <f>"202309011105"</f>
        <v>202309011105</v>
      </c>
      <c r="F28" s="15">
        <v>202311110107</v>
      </c>
      <c r="G28" s="16">
        <f>VLOOKUP(E28,[1]笔试排名!$E$3:$F$315,2,0)</f>
        <v>87.49</v>
      </c>
      <c r="H28" s="17">
        <v>79.1</v>
      </c>
      <c r="I28" s="17">
        <v>66.636</v>
      </c>
    </row>
    <row r="29" s="1" customFormat="1" customHeight="1" spans="1:9">
      <c r="A29" s="11">
        <v>27</v>
      </c>
      <c r="B29" s="12" t="s">
        <v>38</v>
      </c>
      <c r="C29" s="13">
        <v>20230901</v>
      </c>
      <c r="D29" s="14" t="s">
        <v>11</v>
      </c>
      <c r="E29" s="12" t="str">
        <f>"202309011106"</f>
        <v>202309011106</v>
      </c>
      <c r="F29" s="15">
        <v>202311110108</v>
      </c>
      <c r="G29" s="16">
        <f>VLOOKUP(E29,[1]笔试排名!$E$3:$F$315,2,0)</f>
        <v>85.19</v>
      </c>
      <c r="H29" s="17">
        <v>73.4</v>
      </c>
      <c r="I29" s="17">
        <v>63.436</v>
      </c>
    </row>
    <row r="30" s="1" customFormat="1" customHeight="1" spans="1:9">
      <c r="A30" s="11">
        <v>28</v>
      </c>
      <c r="B30" s="12" t="s">
        <v>39</v>
      </c>
      <c r="C30" s="13">
        <v>20230901</v>
      </c>
      <c r="D30" s="14" t="s">
        <v>11</v>
      </c>
      <c r="E30" s="12" t="str">
        <f>"202309011028"</f>
        <v>202309011028</v>
      </c>
      <c r="F30" s="15">
        <v>202311110111</v>
      </c>
      <c r="G30" s="16">
        <f>VLOOKUP(E30,[1]笔试排名!$E$3:$F$315,2,0)</f>
        <v>82.74</v>
      </c>
      <c r="H30" s="17">
        <v>71.2</v>
      </c>
      <c r="I30" s="17">
        <v>61.576</v>
      </c>
    </row>
    <row r="31" s="1" customFormat="1" customHeight="1" spans="1:9">
      <c r="A31" s="11">
        <v>29</v>
      </c>
      <c r="B31" s="12" t="s">
        <v>40</v>
      </c>
      <c r="C31" s="13">
        <v>20230901</v>
      </c>
      <c r="D31" s="14" t="s">
        <v>11</v>
      </c>
      <c r="E31" s="12" t="str">
        <f>"202309011115"</f>
        <v>202309011115</v>
      </c>
      <c r="F31" s="15">
        <v>202311110102</v>
      </c>
      <c r="G31" s="16">
        <f>VLOOKUP(E31,[1]笔试排名!$E$3:$F$315,2,0)</f>
        <v>98.67</v>
      </c>
      <c r="H31" s="17">
        <v>76.3</v>
      </c>
      <c r="I31" s="17">
        <v>69.988</v>
      </c>
    </row>
    <row r="32" s="1" customFormat="1" customHeight="1" spans="1:9">
      <c r="A32" s="11">
        <v>30</v>
      </c>
      <c r="B32" s="12" t="s">
        <v>41</v>
      </c>
      <c r="C32" s="13">
        <v>20230901</v>
      </c>
      <c r="D32" s="14" t="s">
        <v>11</v>
      </c>
      <c r="E32" s="12" t="str">
        <f>"202309011114"</f>
        <v>202309011114</v>
      </c>
      <c r="F32" s="15">
        <v>202311110110</v>
      </c>
      <c r="G32" s="16">
        <f>VLOOKUP(E32,[1]笔试排名!$E$3:$F$315,2,0)</f>
        <v>82.82</v>
      </c>
      <c r="H32" s="17">
        <v>69.8</v>
      </c>
      <c r="I32" s="17">
        <v>61.048</v>
      </c>
    </row>
    <row r="33" s="1" customFormat="1" customHeight="1" spans="1:9">
      <c r="A33" s="11">
        <v>31</v>
      </c>
      <c r="B33" s="12" t="s">
        <v>42</v>
      </c>
      <c r="C33" s="13">
        <v>20230901</v>
      </c>
      <c r="D33" s="14" t="s">
        <v>11</v>
      </c>
      <c r="E33" s="12" t="str">
        <f>"202309011113"</f>
        <v>202309011113</v>
      </c>
      <c r="F33" s="15">
        <v>202311110105</v>
      </c>
      <c r="G33" s="16">
        <f>VLOOKUP(E33,[1]笔试排名!$E$3:$F$315,2,0)</f>
        <v>87.72</v>
      </c>
      <c r="H33" s="17">
        <v>78.8</v>
      </c>
      <c r="I33" s="17">
        <v>66.608</v>
      </c>
    </row>
    <row r="34" s="1" customFormat="1" customHeight="1" spans="1:9">
      <c r="A34" s="11">
        <v>32</v>
      </c>
      <c r="B34" s="12" t="s">
        <v>43</v>
      </c>
      <c r="C34" s="13">
        <v>20230901</v>
      </c>
      <c r="D34" s="14" t="s">
        <v>11</v>
      </c>
      <c r="E34" s="12" t="str">
        <f>"202309011112"</f>
        <v>202309011112</v>
      </c>
      <c r="F34" s="15">
        <v>202311110106</v>
      </c>
      <c r="G34" s="16">
        <f>VLOOKUP(E34,[1]笔试排名!$E$3:$F$315,2,0)</f>
        <v>87.56</v>
      </c>
      <c r="H34" s="17">
        <v>77.4</v>
      </c>
      <c r="I34" s="17">
        <v>65.984</v>
      </c>
    </row>
    <row r="35" s="1" customFormat="1" customHeight="1" spans="1:9">
      <c r="A35" s="11">
        <v>33</v>
      </c>
      <c r="B35" s="12" t="s">
        <v>44</v>
      </c>
      <c r="C35" s="12">
        <v>20230905</v>
      </c>
      <c r="D35" s="14" t="s">
        <v>11</v>
      </c>
      <c r="E35" s="12" t="str">
        <f>"202309010518"</f>
        <v>202309010518</v>
      </c>
      <c r="F35" s="18">
        <v>202311110234</v>
      </c>
      <c r="G35" s="16">
        <f>VLOOKUP(E35,[1]笔试排名!$E$3:$F$315,2,0)</f>
        <v>94.8</v>
      </c>
      <c r="H35" s="17">
        <v>73.6</v>
      </c>
      <c r="I35" s="17">
        <v>67.36</v>
      </c>
    </row>
    <row r="36" s="1" customFormat="1" customHeight="1" spans="1:9">
      <c r="A36" s="11">
        <v>34</v>
      </c>
      <c r="B36" s="12" t="s">
        <v>45</v>
      </c>
      <c r="C36" s="12">
        <v>20230905</v>
      </c>
      <c r="D36" s="14" t="s">
        <v>11</v>
      </c>
      <c r="E36" s="12" t="str">
        <f>"202309011012"</f>
        <v>202309011012</v>
      </c>
      <c r="F36" s="18">
        <v>202311110228</v>
      </c>
      <c r="G36" s="16">
        <f>VLOOKUP(E36,[1]笔试排名!$E$3:$F$315,2,0)</f>
        <v>100.19</v>
      </c>
      <c r="H36" s="17">
        <v>74.4</v>
      </c>
      <c r="I36" s="17">
        <v>69.836</v>
      </c>
    </row>
    <row r="37" s="1" customFormat="1" customHeight="1" spans="1:9">
      <c r="A37" s="11">
        <v>35</v>
      </c>
      <c r="B37" s="12" t="s">
        <v>46</v>
      </c>
      <c r="C37" s="12">
        <v>20230905</v>
      </c>
      <c r="D37" s="14" t="s">
        <v>11</v>
      </c>
      <c r="E37" s="12" t="str">
        <f>"202309010811"</f>
        <v>202309010811</v>
      </c>
      <c r="F37" s="18">
        <v>202311110226</v>
      </c>
      <c r="G37" s="16">
        <f>VLOOKUP(E37,[1]笔试排名!$E$3:$F$315,2,0)</f>
        <v>105.81</v>
      </c>
      <c r="H37" s="17">
        <v>76.2</v>
      </c>
      <c r="I37" s="17">
        <v>72.804</v>
      </c>
    </row>
    <row r="38" s="1" customFormat="1" customHeight="1" spans="1:9">
      <c r="A38" s="11">
        <v>36</v>
      </c>
      <c r="B38" s="12" t="s">
        <v>47</v>
      </c>
      <c r="C38" s="12">
        <v>20230905</v>
      </c>
      <c r="D38" s="14" t="s">
        <v>11</v>
      </c>
      <c r="E38" s="12" t="str">
        <f>"202309010320"</f>
        <v>202309010320</v>
      </c>
      <c r="F38" s="18">
        <v>202311110229</v>
      </c>
      <c r="G38" s="16">
        <f>VLOOKUP(E38,[1]笔试排名!$E$3:$F$315,2,0)</f>
        <v>99.54</v>
      </c>
      <c r="H38" s="17">
        <v>78</v>
      </c>
      <c r="I38" s="17">
        <v>71.016</v>
      </c>
    </row>
    <row r="39" s="1" customFormat="1" customHeight="1" spans="1:9">
      <c r="A39" s="11">
        <v>37</v>
      </c>
      <c r="B39" s="12" t="s">
        <v>48</v>
      </c>
      <c r="C39" s="12">
        <v>20230905</v>
      </c>
      <c r="D39" s="14" t="s">
        <v>11</v>
      </c>
      <c r="E39" s="12" t="str">
        <f>"202309010712"</f>
        <v>202309010712</v>
      </c>
      <c r="F39" s="18">
        <v>202311110235</v>
      </c>
      <c r="G39" s="16">
        <f>VLOOKUP(E39,[1]笔试排名!$E$3:$F$315,2,0)</f>
        <v>93.97</v>
      </c>
      <c r="H39" s="17">
        <v>73</v>
      </c>
      <c r="I39" s="17">
        <v>66.788</v>
      </c>
    </row>
    <row r="40" s="1" customFormat="1" customHeight="1" spans="1:9">
      <c r="A40" s="11">
        <v>38</v>
      </c>
      <c r="B40" s="12" t="s">
        <v>49</v>
      </c>
      <c r="C40" s="12">
        <v>20230905</v>
      </c>
      <c r="D40" s="14" t="s">
        <v>11</v>
      </c>
      <c r="E40" s="12" t="str">
        <f>"202309010808"</f>
        <v>202309010808</v>
      </c>
      <c r="F40" s="18">
        <v>202311110227</v>
      </c>
      <c r="G40" s="16">
        <f>VLOOKUP(E40,[1]笔试排名!$E$3:$F$315,2,0)</f>
        <v>100.6</v>
      </c>
      <c r="H40" s="17">
        <v>70.8</v>
      </c>
      <c r="I40" s="17">
        <v>68.56</v>
      </c>
    </row>
    <row r="41" s="1" customFormat="1" customHeight="1" spans="1:9">
      <c r="A41" s="11">
        <v>39</v>
      </c>
      <c r="B41" s="12" t="s">
        <v>50</v>
      </c>
      <c r="C41" s="12">
        <v>20230905</v>
      </c>
      <c r="D41" s="14" t="s">
        <v>11</v>
      </c>
      <c r="E41" s="12" t="str">
        <f>"202309010324"</f>
        <v>202309010324</v>
      </c>
      <c r="F41" s="18">
        <v>202311110231</v>
      </c>
      <c r="G41" s="16">
        <f>VLOOKUP(E41,[1]笔试排名!$E$3:$F$315,2,0)</f>
        <v>97.25</v>
      </c>
      <c r="H41" s="17">
        <v>71.8</v>
      </c>
      <c r="I41" s="17">
        <v>67.62</v>
      </c>
    </row>
    <row r="42" s="1" customFormat="1" customHeight="1" spans="1:9">
      <c r="A42" s="11">
        <v>40</v>
      </c>
      <c r="B42" s="12" t="s">
        <v>51</v>
      </c>
      <c r="C42" s="12">
        <v>20230905</v>
      </c>
      <c r="D42" s="14" t="s">
        <v>11</v>
      </c>
      <c r="E42" s="12" t="str">
        <f>"202309010307"</f>
        <v>202309010307</v>
      </c>
      <c r="F42" s="18">
        <v>202311110230</v>
      </c>
      <c r="G42" s="16">
        <f>VLOOKUP(E42,[1]笔试排名!$E$3:$F$315,2,0)</f>
        <v>98.05</v>
      </c>
      <c r="H42" s="17">
        <v>73</v>
      </c>
      <c r="I42" s="17">
        <v>68.42</v>
      </c>
    </row>
    <row r="43" s="1" customFormat="1" customHeight="1" spans="1:9">
      <c r="A43" s="11">
        <v>41</v>
      </c>
      <c r="B43" s="12" t="s">
        <v>52</v>
      </c>
      <c r="C43" s="12">
        <v>20230905</v>
      </c>
      <c r="D43" s="14" t="s">
        <v>11</v>
      </c>
      <c r="E43" s="12" t="str">
        <f>"202309010508"</f>
        <v>202309010508</v>
      </c>
      <c r="F43" s="18">
        <v>202311110232</v>
      </c>
      <c r="G43" s="16">
        <f>VLOOKUP(E43,[1]笔试排名!$E$3:$F$315,2,0)</f>
        <v>97.12</v>
      </c>
      <c r="H43" s="17">
        <v>76</v>
      </c>
      <c r="I43" s="17">
        <v>69.248</v>
      </c>
    </row>
    <row r="44" s="1" customFormat="1" customHeight="1" spans="1:9">
      <c r="A44" s="11">
        <v>42</v>
      </c>
      <c r="B44" s="12" t="s">
        <v>53</v>
      </c>
      <c r="C44" s="12">
        <v>20230905</v>
      </c>
      <c r="D44" s="14" t="s">
        <v>11</v>
      </c>
      <c r="E44" s="12" t="str">
        <f>"202309010529"</f>
        <v>202309010529</v>
      </c>
      <c r="F44" s="18">
        <v>202311110237</v>
      </c>
      <c r="G44" s="16">
        <f>VLOOKUP(E44,[1]笔试排名!$E$3:$F$315,2,0)</f>
        <v>92.64</v>
      </c>
      <c r="H44" s="17">
        <v>72.4</v>
      </c>
      <c r="I44" s="17">
        <v>66.016</v>
      </c>
    </row>
    <row r="45" s="1" customFormat="1" customHeight="1" spans="1:9">
      <c r="A45" s="11">
        <v>43</v>
      </c>
      <c r="B45" s="12" t="s">
        <v>54</v>
      </c>
      <c r="C45" s="12">
        <v>20230905</v>
      </c>
      <c r="D45" s="14" t="s">
        <v>11</v>
      </c>
      <c r="E45" s="12" t="str">
        <f>"202309010607"</f>
        <v>202309010607</v>
      </c>
      <c r="F45" s="18">
        <v>202311110233</v>
      </c>
      <c r="G45" s="16">
        <f>VLOOKUP(E45,[1]笔试排名!$E$3:$F$315,2,0)</f>
        <v>94.98</v>
      </c>
      <c r="H45" s="17">
        <v>73.2</v>
      </c>
      <c r="I45" s="17">
        <v>67.272</v>
      </c>
    </row>
    <row r="46" customHeight="1" spans="1:9">
      <c r="A46" s="11">
        <v>44</v>
      </c>
      <c r="B46" s="12" t="s">
        <v>55</v>
      </c>
      <c r="C46" s="12">
        <v>20230905</v>
      </c>
      <c r="D46" s="14" t="s">
        <v>11</v>
      </c>
      <c r="E46" s="12" t="str">
        <f>"202309010819"</f>
        <v>202309010819</v>
      </c>
      <c r="F46" s="18">
        <v>202311110236</v>
      </c>
      <c r="G46" s="16">
        <f>VLOOKUP(E46,[1]笔试排名!$E$3:$F$315,2,0)</f>
        <v>92.71</v>
      </c>
      <c r="H46" s="17">
        <v>76.6</v>
      </c>
      <c r="I46" s="17">
        <v>67.724</v>
      </c>
    </row>
    <row r="47" customHeight="1" spans="1:9">
      <c r="A47" s="11">
        <v>45</v>
      </c>
      <c r="B47" s="12" t="s">
        <v>56</v>
      </c>
      <c r="C47" s="12">
        <v>20230904</v>
      </c>
      <c r="D47" s="14" t="s">
        <v>11</v>
      </c>
      <c r="E47" s="12" t="str">
        <f>"202309010230"</f>
        <v>202309010230</v>
      </c>
      <c r="F47" s="18">
        <v>202311110210</v>
      </c>
      <c r="G47" s="16">
        <f>VLOOKUP(E47,[1]笔试排名!$E$3:$F$315,2,0)</f>
        <v>108.41</v>
      </c>
      <c r="H47" s="17" t="s">
        <v>17</v>
      </c>
      <c r="I47" s="17">
        <v>43.364</v>
      </c>
    </row>
    <row r="48" customHeight="1" spans="1:9">
      <c r="A48" s="11">
        <v>46</v>
      </c>
      <c r="B48" s="12" t="s">
        <v>57</v>
      </c>
      <c r="C48" s="12">
        <v>20230904</v>
      </c>
      <c r="D48" s="14" t="s">
        <v>11</v>
      </c>
      <c r="E48" s="12" t="str">
        <f>"202309010215"</f>
        <v>202309010215</v>
      </c>
      <c r="F48" s="18">
        <v>202311110211</v>
      </c>
      <c r="G48" s="16">
        <f>VLOOKUP(E48,[1]笔试排名!$E$3:$F$315,2,0)</f>
        <v>108.36</v>
      </c>
      <c r="H48" s="17">
        <v>74.9</v>
      </c>
      <c r="I48" s="17">
        <v>73.304</v>
      </c>
    </row>
    <row r="49" customHeight="1" spans="1:9">
      <c r="A49" s="11">
        <v>47</v>
      </c>
      <c r="B49" s="12" t="s">
        <v>58</v>
      </c>
      <c r="C49" s="12">
        <v>20230904</v>
      </c>
      <c r="D49" s="14" t="s">
        <v>11</v>
      </c>
      <c r="E49" s="12" t="str">
        <f>"202309010211"</f>
        <v>202309010211</v>
      </c>
      <c r="F49" s="18">
        <v>202311110215</v>
      </c>
      <c r="G49" s="16">
        <f>VLOOKUP(E49,[1]笔试排名!$E$3:$F$315,2,0)</f>
        <v>106.91</v>
      </c>
      <c r="H49" s="17" t="s">
        <v>17</v>
      </c>
      <c r="I49" s="17">
        <v>42.764</v>
      </c>
    </row>
    <row r="50" customHeight="1" spans="1:9">
      <c r="A50" s="11">
        <v>48</v>
      </c>
      <c r="B50" s="12" t="s">
        <v>59</v>
      </c>
      <c r="C50" s="12">
        <v>20230904</v>
      </c>
      <c r="D50" s="14" t="s">
        <v>11</v>
      </c>
      <c r="E50" s="12" t="str">
        <f>"202309010301"</f>
        <v>202309010301</v>
      </c>
      <c r="F50" s="18">
        <v>202311110216</v>
      </c>
      <c r="G50" s="16">
        <f>VLOOKUP(E50,[1]笔试排名!$E$3:$F$315,2,0)</f>
        <v>106.24</v>
      </c>
      <c r="H50" s="17" t="s">
        <v>17</v>
      </c>
      <c r="I50" s="17">
        <v>42.496</v>
      </c>
    </row>
    <row r="51" customHeight="1" spans="1:9">
      <c r="A51" s="11">
        <v>49</v>
      </c>
      <c r="B51" s="12" t="s">
        <v>60</v>
      </c>
      <c r="C51" s="12">
        <v>20230904</v>
      </c>
      <c r="D51" s="14" t="s">
        <v>11</v>
      </c>
      <c r="E51" s="12" t="str">
        <f>"202309010208"</f>
        <v>202309010208</v>
      </c>
      <c r="F51" s="18">
        <v>202311110202</v>
      </c>
      <c r="G51" s="16">
        <f>VLOOKUP(E51,[1]笔试排名!$E$3:$F$315,2,0)</f>
        <v>111.68</v>
      </c>
      <c r="H51" s="17">
        <v>71.2</v>
      </c>
      <c r="I51" s="17">
        <v>73.152</v>
      </c>
    </row>
    <row r="52" customHeight="1" spans="1:9">
      <c r="A52" s="11">
        <v>50</v>
      </c>
      <c r="B52" s="12" t="s">
        <v>61</v>
      </c>
      <c r="C52" s="12">
        <v>20230904</v>
      </c>
      <c r="D52" s="14" t="s">
        <v>11</v>
      </c>
      <c r="E52" s="12" t="str">
        <f>"202309010210"</f>
        <v>202309010210</v>
      </c>
      <c r="F52" s="18">
        <v>202311110203</v>
      </c>
      <c r="G52" s="16">
        <f>VLOOKUP(E52,[1]笔试排名!$E$3:$F$315,2,0)</f>
        <v>111.19</v>
      </c>
      <c r="H52" s="17">
        <v>68.6</v>
      </c>
      <c r="I52" s="17">
        <v>71.916</v>
      </c>
    </row>
    <row r="53" customHeight="1" spans="1:9">
      <c r="A53" s="11">
        <v>51</v>
      </c>
      <c r="B53" s="12" t="s">
        <v>62</v>
      </c>
      <c r="C53" s="12">
        <v>20230904</v>
      </c>
      <c r="D53" s="14" t="s">
        <v>11</v>
      </c>
      <c r="E53" s="12" t="str">
        <f>"202309010217"</f>
        <v>202309010217</v>
      </c>
      <c r="F53" s="18">
        <v>202311110224</v>
      </c>
      <c r="G53" s="16">
        <f>VLOOKUP(E53,[1]笔试排名!$E$3:$F$315,2,0)</f>
        <v>89.93</v>
      </c>
      <c r="H53" s="17">
        <v>74.6</v>
      </c>
      <c r="I53" s="17">
        <v>65.812</v>
      </c>
    </row>
    <row r="54" customHeight="1" spans="1:9">
      <c r="A54" s="11">
        <v>52</v>
      </c>
      <c r="B54" s="12" t="s">
        <v>63</v>
      </c>
      <c r="C54" s="12">
        <v>20230904</v>
      </c>
      <c r="D54" s="14" t="s">
        <v>11</v>
      </c>
      <c r="E54" s="12" t="str">
        <f>"202309010216"</f>
        <v>202309010216</v>
      </c>
      <c r="F54" s="18">
        <v>202311110207</v>
      </c>
      <c r="G54" s="16">
        <f>VLOOKUP(E54,[1]笔试排名!$E$3:$F$315,2,0)</f>
        <v>109.23</v>
      </c>
      <c r="H54" s="17">
        <v>76</v>
      </c>
      <c r="I54" s="17">
        <v>74.092</v>
      </c>
    </row>
    <row r="55" customHeight="1" spans="1:9">
      <c r="A55" s="11">
        <v>53</v>
      </c>
      <c r="B55" s="12" t="s">
        <v>64</v>
      </c>
      <c r="C55" s="12">
        <v>20230904</v>
      </c>
      <c r="D55" s="14" t="s">
        <v>11</v>
      </c>
      <c r="E55" s="12" t="str">
        <f>"202309010229"</f>
        <v>202309010229</v>
      </c>
      <c r="F55" s="18">
        <v>202311110222</v>
      </c>
      <c r="G55" s="16">
        <f>VLOOKUP(E55,[1]笔试排名!$E$3:$F$315,2,0)</f>
        <v>96.2</v>
      </c>
      <c r="H55" s="17">
        <v>70</v>
      </c>
      <c r="I55" s="17">
        <v>66.48</v>
      </c>
    </row>
    <row r="56" customHeight="1" spans="1:9">
      <c r="A56" s="11">
        <v>54</v>
      </c>
      <c r="B56" s="12" t="s">
        <v>65</v>
      </c>
      <c r="C56" s="12">
        <v>20230904</v>
      </c>
      <c r="D56" s="14" t="s">
        <v>11</v>
      </c>
      <c r="E56" s="12" t="str">
        <f>"202309010225"</f>
        <v>202309010225</v>
      </c>
      <c r="F56" s="18">
        <v>202311110218</v>
      </c>
      <c r="G56" s="16">
        <f>VLOOKUP(E56,[1]笔试排名!$E$3:$F$315,2,0)</f>
        <v>104.67</v>
      </c>
      <c r="H56" s="17" t="s">
        <v>17</v>
      </c>
      <c r="I56" s="17">
        <v>41.868</v>
      </c>
    </row>
    <row r="57" customHeight="1" spans="1:9">
      <c r="A57" s="11">
        <v>55</v>
      </c>
      <c r="B57" s="12" t="s">
        <v>66</v>
      </c>
      <c r="C57" s="12">
        <v>20230904</v>
      </c>
      <c r="D57" s="14" t="s">
        <v>11</v>
      </c>
      <c r="E57" s="12" t="str">
        <f>"202309010302"</f>
        <v>202309010302</v>
      </c>
      <c r="F57" s="18">
        <v>202311110208</v>
      </c>
      <c r="G57" s="16">
        <f>VLOOKUP(E57,[1]笔试排名!$E$3:$F$315,2,0)</f>
        <v>109.13</v>
      </c>
      <c r="H57" s="17">
        <v>76.2</v>
      </c>
      <c r="I57" s="17">
        <v>74.132</v>
      </c>
    </row>
    <row r="58" customHeight="1" spans="1:9">
      <c r="A58" s="11">
        <v>56</v>
      </c>
      <c r="B58" s="12" t="s">
        <v>67</v>
      </c>
      <c r="C58" s="12">
        <v>20230904</v>
      </c>
      <c r="D58" s="14" t="s">
        <v>11</v>
      </c>
      <c r="E58" s="12" t="str">
        <f>"202309010221"</f>
        <v>202309010221</v>
      </c>
      <c r="F58" s="18">
        <v>202311110205</v>
      </c>
      <c r="G58" s="16">
        <f>VLOOKUP(E58,[1]笔试排名!$E$3:$F$315,2,0)</f>
        <v>110.52</v>
      </c>
      <c r="H58" s="17">
        <v>74.2</v>
      </c>
      <c r="I58" s="17">
        <v>73.888</v>
      </c>
    </row>
    <row r="59" customHeight="1" spans="1:9">
      <c r="A59" s="11">
        <v>57</v>
      </c>
      <c r="B59" s="12" t="s">
        <v>68</v>
      </c>
      <c r="C59" s="12">
        <v>20230904</v>
      </c>
      <c r="D59" s="14" t="s">
        <v>11</v>
      </c>
      <c r="E59" s="12" t="str">
        <f>"202309010205"</f>
        <v>202309010205</v>
      </c>
      <c r="F59" s="18">
        <v>202311110213</v>
      </c>
      <c r="G59" s="16">
        <f>VLOOKUP(E59,[1]笔试排名!$E$3:$F$315,2,0)</f>
        <v>107.02</v>
      </c>
      <c r="H59" s="17">
        <v>71.7</v>
      </c>
      <c r="I59" s="17">
        <v>71.488</v>
      </c>
    </row>
    <row r="60" customHeight="1" spans="1:9">
      <c r="A60" s="11">
        <v>58</v>
      </c>
      <c r="B60" s="12" t="s">
        <v>69</v>
      </c>
      <c r="C60" s="12">
        <v>20230904</v>
      </c>
      <c r="D60" s="14" t="s">
        <v>11</v>
      </c>
      <c r="E60" s="12" t="str">
        <f>"202309010303"</f>
        <v>202309010303</v>
      </c>
      <c r="F60" s="18">
        <v>202311110219</v>
      </c>
      <c r="G60" s="16">
        <f>VLOOKUP(E60,[1]笔试排名!$E$3:$F$315,2,0)</f>
        <v>102.2</v>
      </c>
      <c r="H60" s="17" t="s">
        <v>17</v>
      </c>
      <c r="I60" s="17">
        <v>40.88</v>
      </c>
    </row>
    <row r="61" customHeight="1" spans="1:9">
      <c r="A61" s="11">
        <v>59</v>
      </c>
      <c r="B61" s="12" t="s">
        <v>70</v>
      </c>
      <c r="C61" s="12">
        <v>20230904</v>
      </c>
      <c r="D61" s="14" t="s">
        <v>11</v>
      </c>
      <c r="E61" s="12" t="str">
        <f>"202309010130"</f>
        <v>202309010130</v>
      </c>
      <c r="F61" s="18">
        <v>202311110217</v>
      </c>
      <c r="G61" s="16">
        <f>VLOOKUP(E61,[1]笔试排名!$E$3:$F$315,2,0)</f>
        <v>105.4</v>
      </c>
      <c r="H61" s="17">
        <v>75.7</v>
      </c>
      <c r="I61" s="17">
        <v>72.44</v>
      </c>
    </row>
    <row r="62" customHeight="1" spans="1:9">
      <c r="A62" s="11">
        <v>60</v>
      </c>
      <c r="B62" s="12" t="s">
        <v>71</v>
      </c>
      <c r="C62" s="12">
        <v>20230904</v>
      </c>
      <c r="D62" s="14" t="s">
        <v>11</v>
      </c>
      <c r="E62" s="12" t="str">
        <f>"202309010129"</f>
        <v>202309010129</v>
      </c>
      <c r="F62" s="18">
        <v>202311110214</v>
      </c>
      <c r="G62" s="16">
        <f>VLOOKUP(E62,[1]笔试排名!$E$3:$F$315,2,0)</f>
        <v>106.91</v>
      </c>
      <c r="H62" s="17">
        <v>73.4</v>
      </c>
      <c r="I62" s="17">
        <v>72.124</v>
      </c>
    </row>
    <row r="63" customHeight="1" spans="1:9">
      <c r="A63" s="11">
        <v>61</v>
      </c>
      <c r="B63" s="12" t="s">
        <v>72</v>
      </c>
      <c r="C63" s="12">
        <v>20230904</v>
      </c>
      <c r="D63" s="14" t="s">
        <v>11</v>
      </c>
      <c r="E63" s="12" t="str">
        <f>"202309010219"</f>
        <v>202309010219</v>
      </c>
      <c r="F63" s="18">
        <v>202311110212</v>
      </c>
      <c r="G63" s="16">
        <f>VLOOKUP(E63,[1]笔试排名!$E$3:$F$315,2,0)</f>
        <v>107.35</v>
      </c>
      <c r="H63" s="17">
        <v>77.5</v>
      </c>
      <c r="I63" s="17">
        <v>73.94</v>
      </c>
    </row>
    <row r="64" customHeight="1" spans="1:9">
      <c r="A64" s="11">
        <v>62</v>
      </c>
      <c r="B64" s="12" t="s">
        <v>73</v>
      </c>
      <c r="C64" s="12">
        <v>20230904</v>
      </c>
      <c r="D64" s="14" t="s">
        <v>11</v>
      </c>
      <c r="E64" s="12" t="str">
        <f>"202309010220"</f>
        <v>202309010220</v>
      </c>
      <c r="F64" s="18">
        <v>202311110223</v>
      </c>
      <c r="G64" s="16">
        <f>VLOOKUP(E64,[1]笔试排名!$E$3:$F$315,2,0)</f>
        <v>94.34</v>
      </c>
      <c r="H64" s="17" t="s">
        <v>17</v>
      </c>
      <c r="I64" s="17">
        <v>37.736</v>
      </c>
    </row>
    <row r="65" customHeight="1" spans="1:9">
      <c r="A65" s="11">
        <v>63</v>
      </c>
      <c r="B65" s="12" t="s">
        <v>74</v>
      </c>
      <c r="C65" s="12">
        <v>20230904</v>
      </c>
      <c r="D65" s="14" t="s">
        <v>11</v>
      </c>
      <c r="E65" s="12" t="str">
        <f>"202309010203"</f>
        <v>202309010203</v>
      </c>
      <c r="F65" s="18">
        <v>202311110209</v>
      </c>
      <c r="G65" s="16">
        <f>VLOOKUP(E65,[1]笔试排名!$E$3:$F$315,2,0)</f>
        <v>108.59</v>
      </c>
      <c r="H65" s="17">
        <v>74.96</v>
      </c>
      <c r="I65" s="17">
        <v>73.42</v>
      </c>
    </row>
    <row r="66" customHeight="1" spans="1:9">
      <c r="A66" s="11">
        <v>64</v>
      </c>
      <c r="B66" s="12" t="s">
        <v>75</v>
      </c>
      <c r="C66" s="12">
        <v>20230904</v>
      </c>
      <c r="D66" s="14" t="s">
        <v>11</v>
      </c>
      <c r="E66" s="12" t="str">
        <f>"202309010207"</f>
        <v>202309010207</v>
      </c>
      <c r="F66" s="18">
        <v>202311110220</v>
      </c>
      <c r="G66" s="16">
        <f>VLOOKUP(E66,[1]笔试排名!$E$3:$F$315,2,0)</f>
        <v>101.35</v>
      </c>
      <c r="H66" s="17">
        <v>73.4</v>
      </c>
      <c r="I66" s="17">
        <v>69.9</v>
      </c>
    </row>
    <row r="67" customHeight="1" spans="1:9">
      <c r="A67" s="11">
        <v>65</v>
      </c>
      <c r="B67" s="12" t="s">
        <v>76</v>
      </c>
      <c r="C67" s="12">
        <v>20230904</v>
      </c>
      <c r="D67" s="14" t="s">
        <v>11</v>
      </c>
      <c r="E67" s="12" t="str">
        <f>"202309010223"</f>
        <v>202309010223</v>
      </c>
      <c r="F67" s="18">
        <v>202311110221</v>
      </c>
      <c r="G67" s="16">
        <f>VLOOKUP(E67,[1]笔试排名!$E$3:$F$315,2,0)</f>
        <v>100.37</v>
      </c>
      <c r="H67" s="17">
        <v>71.6</v>
      </c>
      <c r="I67" s="17">
        <v>68.788</v>
      </c>
    </row>
    <row r="68" customHeight="1" spans="1:9">
      <c r="A68" s="11">
        <v>66</v>
      </c>
      <c r="B68" s="12" t="s">
        <v>77</v>
      </c>
      <c r="C68" s="12">
        <v>20230904</v>
      </c>
      <c r="D68" s="14" t="s">
        <v>11</v>
      </c>
      <c r="E68" s="12" t="str">
        <f>"202309010227"</f>
        <v>202309010227</v>
      </c>
      <c r="F68" s="18">
        <v>202311110206</v>
      </c>
      <c r="G68" s="16">
        <f>VLOOKUP(E68,[1]笔试排名!$E$3:$F$315,2,0)</f>
        <v>109.57</v>
      </c>
      <c r="H68" s="17">
        <v>72</v>
      </c>
      <c r="I68" s="17">
        <v>72.628</v>
      </c>
    </row>
    <row r="69" customHeight="1" spans="1:9">
      <c r="A69" s="11">
        <v>67</v>
      </c>
      <c r="B69" s="12" t="s">
        <v>78</v>
      </c>
      <c r="C69" s="12">
        <v>20230904</v>
      </c>
      <c r="D69" s="14" t="s">
        <v>11</v>
      </c>
      <c r="E69" s="12" t="str">
        <f>"202309010213"</f>
        <v>202309010213</v>
      </c>
      <c r="F69" s="18">
        <v>202311110225</v>
      </c>
      <c r="G69" s="16">
        <f>VLOOKUP(E69,[1]笔试排名!$E$3:$F$315,2,0)</f>
        <v>81.97</v>
      </c>
      <c r="H69" s="17" t="s">
        <v>17</v>
      </c>
      <c r="I69" s="17">
        <v>32.788</v>
      </c>
    </row>
    <row r="70" customHeight="1" spans="1:9">
      <c r="A70" s="11">
        <v>68</v>
      </c>
      <c r="B70" s="12" t="s">
        <v>79</v>
      </c>
      <c r="C70" s="12">
        <v>20230904</v>
      </c>
      <c r="D70" s="14" t="s">
        <v>11</v>
      </c>
      <c r="E70" s="12" t="str">
        <f>"202309010206"</f>
        <v>202309010206</v>
      </c>
      <c r="F70" s="18">
        <v>202311110201</v>
      </c>
      <c r="G70" s="16">
        <f>VLOOKUP(E70,[1]笔试排名!$E$3:$F$315,2,0)</f>
        <v>114.16</v>
      </c>
      <c r="H70" s="17">
        <v>72.5</v>
      </c>
      <c r="I70" s="17">
        <v>74.664</v>
      </c>
    </row>
    <row r="71" customHeight="1" spans="1:9">
      <c r="A71" s="11">
        <v>69</v>
      </c>
      <c r="B71" s="12" t="s">
        <v>80</v>
      </c>
      <c r="C71" s="12">
        <v>20230904</v>
      </c>
      <c r="D71" s="14" t="s">
        <v>11</v>
      </c>
      <c r="E71" s="12" t="str">
        <f>"202309010218"</f>
        <v>202309010218</v>
      </c>
      <c r="F71" s="18">
        <v>202311110204</v>
      </c>
      <c r="G71" s="16">
        <f>VLOOKUP(E71,[1]笔试排名!$E$3:$F$315,2,0)</f>
        <v>111.17</v>
      </c>
      <c r="H71" s="17">
        <v>72.7</v>
      </c>
      <c r="I71" s="17">
        <v>73.548</v>
      </c>
    </row>
    <row r="72" customHeight="1" spans="1:9">
      <c r="A72" s="11">
        <v>70</v>
      </c>
      <c r="B72" s="11" t="s">
        <v>81</v>
      </c>
      <c r="C72" s="11">
        <v>20230901</v>
      </c>
      <c r="D72" s="14" t="s">
        <v>82</v>
      </c>
      <c r="E72" s="11" t="str">
        <f>"202309011130"</f>
        <v>202309011130</v>
      </c>
      <c r="F72" s="19">
        <v>202311110302</v>
      </c>
      <c r="G72" s="16">
        <f>VLOOKUP(E72,[1]笔试排名!$E$3:$F$315,2,0)</f>
        <v>98.16</v>
      </c>
      <c r="H72" s="17" t="s">
        <v>17</v>
      </c>
      <c r="I72" s="17">
        <v>39.264</v>
      </c>
    </row>
    <row r="73" customHeight="1" spans="1:9">
      <c r="A73" s="11">
        <v>71</v>
      </c>
      <c r="B73" s="11" t="s">
        <v>83</v>
      </c>
      <c r="C73" s="20">
        <v>20230908</v>
      </c>
      <c r="D73" s="14" t="s">
        <v>11</v>
      </c>
      <c r="E73" s="11" t="str">
        <f>"202309011317"</f>
        <v>202309011317</v>
      </c>
      <c r="F73" s="19">
        <v>202311110319</v>
      </c>
      <c r="G73" s="16">
        <f>VLOOKUP(E73,[1]笔试排名!$E$3:$F$315,2,0)</f>
        <v>115.42</v>
      </c>
      <c r="H73" s="17">
        <v>72.8</v>
      </c>
      <c r="I73" s="17">
        <v>75.288</v>
      </c>
    </row>
    <row r="74" customHeight="1" spans="1:9">
      <c r="A74" s="11">
        <v>72</v>
      </c>
      <c r="B74" s="11" t="s">
        <v>84</v>
      </c>
      <c r="C74" s="11">
        <v>20230901</v>
      </c>
      <c r="D74" s="14" t="s">
        <v>82</v>
      </c>
      <c r="E74" s="11" t="str">
        <f>"202309011119"</f>
        <v>202309011119</v>
      </c>
      <c r="F74" s="19">
        <v>202311110305</v>
      </c>
      <c r="G74" s="16">
        <f>VLOOKUP(E74,[1]笔试排名!$E$3:$F$315,2,0)</f>
        <v>92.64</v>
      </c>
      <c r="H74" s="17" t="s">
        <v>17</v>
      </c>
      <c r="I74" s="17">
        <v>37.056</v>
      </c>
    </row>
    <row r="75" customHeight="1" spans="1:9">
      <c r="A75" s="11">
        <v>73</v>
      </c>
      <c r="B75" s="11" t="s">
        <v>85</v>
      </c>
      <c r="C75" s="20">
        <v>20230902</v>
      </c>
      <c r="D75" s="14" t="s">
        <v>11</v>
      </c>
      <c r="E75" s="11" t="str">
        <f>"202309011204"</f>
        <v>202309011204</v>
      </c>
      <c r="F75" s="19">
        <v>202311110308</v>
      </c>
      <c r="G75" s="16">
        <f>VLOOKUP(E75,[1]笔试排名!$E$3:$F$315,2,0)</f>
        <v>104.21</v>
      </c>
      <c r="H75" s="17" t="s">
        <v>17</v>
      </c>
      <c r="I75" s="17">
        <v>41.684</v>
      </c>
    </row>
    <row r="76" customHeight="1" spans="1:9">
      <c r="A76" s="11">
        <v>74</v>
      </c>
      <c r="B76" s="11" t="s">
        <v>86</v>
      </c>
      <c r="C76" s="20">
        <v>20230902</v>
      </c>
      <c r="D76" s="14" t="s">
        <v>11</v>
      </c>
      <c r="E76" s="11" t="str">
        <f>"202309011206"</f>
        <v>202309011206</v>
      </c>
      <c r="F76" s="19">
        <v>202311110309</v>
      </c>
      <c r="G76" s="16">
        <f>VLOOKUP(E76,[1]笔试排名!$E$3:$F$315,2,0)</f>
        <v>90.81</v>
      </c>
      <c r="H76" s="17" t="s">
        <v>17</v>
      </c>
      <c r="I76" s="17">
        <v>36.324</v>
      </c>
    </row>
    <row r="77" customHeight="1" spans="1:9">
      <c r="A77" s="11">
        <v>75</v>
      </c>
      <c r="B77" s="11" t="s">
        <v>87</v>
      </c>
      <c r="C77" s="20">
        <v>20230909</v>
      </c>
      <c r="D77" s="14" t="s">
        <v>11</v>
      </c>
      <c r="E77" s="11" t="str">
        <f>"202309011413"</f>
        <v>202309011413</v>
      </c>
      <c r="F77" s="19">
        <v>202311110327</v>
      </c>
      <c r="G77" s="16">
        <f>VLOOKUP(E77,[1]笔试排名!$E$3:$F$315,2,0)</f>
        <v>108.39</v>
      </c>
      <c r="H77" s="17">
        <v>78.52</v>
      </c>
      <c r="I77" s="17">
        <v>74.764</v>
      </c>
    </row>
    <row r="78" customHeight="1" spans="1:9">
      <c r="A78" s="11">
        <v>76</v>
      </c>
      <c r="B78" s="11" t="s">
        <v>88</v>
      </c>
      <c r="C78" s="20">
        <v>20230909</v>
      </c>
      <c r="D78" s="14" t="s">
        <v>11</v>
      </c>
      <c r="E78" s="11" t="str">
        <f>"202309011510"</f>
        <v>202309011510</v>
      </c>
      <c r="F78" s="19">
        <v>202311110326</v>
      </c>
      <c r="G78" s="16">
        <f>VLOOKUP(E78,[1]笔试排名!$E$3:$F$315,2,0)</f>
        <v>111.83</v>
      </c>
      <c r="H78" s="17">
        <v>78.9</v>
      </c>
      <c r="I78" s="17">
        <v>76.292</v>
      </c>
    </row>
    <row r="79" customHeight="1" spans="1:9">
      <c r="A79" s="11">
        <v>77</v>
      </c>
      <c r="B79" s="11" t="s">
        <v>89</v>
      </c>
      <c r="C79" s="20">
        <v>20230909</v>
      </c>
      <c r="D79" s="14" t="s">
        <v>11</v>
      </c>
      <c r="E79" s="11" t="str">
        <f>"202309011409"</f>
        <v>202309011409</v>
      </c>
      <c r="F79" s="19">
        <v>202311110325</v>
      </c>
      <c r="G79" s="16">
        <f>VLOOKUP(E79,[1]笔试排名!$E$3:$F$315,2,0)</f>
        <v>112.69</v>
      </c>
      <c r="H79" s="17">
        <v>77.36</v>
      </c>
      <c r="I79" s="17">
        <v>76.02</v>
      </c>
    </row>
    <row r="80" customHeight="1" spans="1:9">
      <c r="A80" s="11">
        <v>78</v>
      </c>
      <c r="B80" s="11" t="s">
        <v>90</v>
      </c>
      <c r="C80" s="20">
        <v>20230909</v>
      </c>
      <c r="D80" s="14" t="s">
        <v>11</v>
      </c>
      <c r="E80" s="11" t="str">
        <f>"202309011325"</f>
        <v>202309011325</v>
      </c>
      <c r="F80" s="19">
        <v>202311110323</v>
      </c>
      <c r="G80" s="16">
        <f>VLOOKUP(E80,[1]笔试排名!$E$3:$F$315,2,0)</f>
        <v>119.93</v>
      </c>
      <c r="H80" s="17">
        <v>80.7</v>
      </c>
      <c r="I80" s="17">
        <v>80.252</v>
      </c>
    </row>
    <row r="81" customHeight="1" spans="1:9">
      <c r="A81" s="11">
        <v>79</v>
      </c>
      <c r="B81" s="11" t="s">
        <v>91</v>
      </c>
      <c r="C81" s="20">
        <v>20230909</v>
      </c>
      <c r="D81" s="14" t="s">
        <v>11</v>
      </c>
      <c r="E81" s="11" t="str">
        <f>"202309011507"</f>
        <v>202309011507</v>
      </c>
      <c r="F81" s="19">
        <v>202311110324</v>
      </c>
      <c r="G81" s="16">
        <f>VLOOKUP(E81,[1]笔试排名!$E$3:$F$315,2,0)</f>
        <v>114.39</v>
      </c>
      <c r="H81" s="17">
        <v>78.16</v>
      </c>
      <c r="I81" s="17">
        <v>77.02</v>
      </c>
    </row>
    <row r="82" customHeight="1" spans="1:9">
      <c r="A82" s="11">
        <v>80</v>
      </c>
      <c r="B82" s="11" t="s">
        <v>92</v>
      </c>
      <c r="C82" s="20">
        <v>20230909</v>
      </c>
      <c r="D82" s="14" t="s">
        <v>11</v>
      </c>
      <c r="E82" s="11" t="str">
        <f>"202309011416"</f>
        <v>202309011416</v>
      </c>
      <c r="F82" s="19">
        <v>202311110328</v>
      </c>
      <c r="G82" s="16">
        <f>VLOOKUP(E82,[1]笔试排名!$E$3:$F$315,2,0)</f>
        <v>107.46</v>
      </c>
      <c r="H82" s="17">
        <v>79.56</v>
      </c>
      <c r="I82" s="17">
        <v>74.808</v>
      </c>
    </row>
    <row r="83" customHeight="1" spans="1:9">
      <c r="A83" s="11">
        <v>81</v>
      </c>
      <c r="B83" s="11" t="s">
        <v>93</v>
      </c>
      <c r="C83" s="20">
        <v>20230902</v>
      </c>
      <c r="D83" s="14" t="s">
        <v>11</v>
      </c>
      <c r="E83" s="11" t="str">
        <f>"202309011209"</f>
        <v>202309011209</v>
      </c>
      <c r="F83" s="19">
        <v>202311110310</v>
      </c>
      <c r="G83" s="16">
        <f>VLOOKUP(E83,[1]笔试排名!$E$3:$F$315,2,0)</f>
        <v>87.84</v>
      </c>
      <c r="H83" s="17" t="s">
        <v>17</v>
      </c>
      <c r="I83" s="17">
        <v>35.136</v>
      </c>
    </row>
    <row r="84" customHeight="1" spans="1:9">
      <c r="A84" s="11">
        <v>82</v>
      </c>
      <c r="B84" s="11" t="s">
        <v>94</v>
      </c>
      <c r="C84" s="11">
        <v>20230901</v>
      </c>
      <c r="D84" s="14" t="s">
        <v>82</v>
      </c>
      <c r="E84" s="11" t="str">
        <f>"202309011202"</f>
        <v>202309011202</v>
      </c>
      <c r="F84" s="19">
        <v>202311110301</v>
      </c>
      <c r="G84" s="16">
        <f>VLOOKUP(E84,[1]笔试排名!$E$3:$F$315,2,0)</f>
        <v>103.88</v>
      </c>
      <c r="H84" s="17">
        <v>77.06</v>
      </c>
      <c r="I84" s="17">
        <v>72.376</v>
      </c>
    </row>
    <row r="85" customHeight="1" spans="1:9">
      <c r="A85" s="11">
        <v>83</v>
      </c>
      <c r="B85" s="11" t="s">
        <v>95</v>
      </c>
      <c r="C85" s="11">
        <v>20230901</v>
      </c>
      <c r="D85" s="14" t="s">
        <v>82</v>
      </c>
      <c r="E85" s="11" t="str">
        <f>"202309011118"</f>
        <v>202309011118</v>
      </c>
      <c r="F85" s="19">
        <v>202311110303</v>
      </c>
      <c r="G85" s="16">
        <f>VLOOKUP(E85,[1]笔试排名!$E$3:$F$315,2,0)</f>
        <v>95.6</v>
      </c>
      <c r="H85" s="17">
        <v>75.44</v>
      </c>
      <c r="I85" s="17">
        <v>68.416</v>
      </c>
    </row>
    <row r="86" customHeight="1" spans="1:9">
      <c r="A86" s="11">
        <v>84</v>
      </c>
      <c r="B86" s="11" t="s">
        <v>96</v>
      </c>
      <c r="C86" s="11">
        <v>20230901</v>
      </c>
      <c r="D86" s="14" t="s">
        <v>82</v>
      </c>
      <c r="E86" s="11" t="str">
        <f>"202309011128"</f>
        <v>202309011128</v>
      </c>
      <c r="F86" s="19">
        <v>202311110307</v>
      </c>
      <c r="G86" s="16">
        <f>VLOOKUP(E86,[1]笔试排名!$E$3:$F$315,2,0)</f>
        <v>83.82</v>
      </c>
      <c r="H86" s="17">
        <v>70</v>
      </c>
      <c r="I86" s="17">
        <v>61.528</v>
      </c>
    </row>
    <row r="87" customHeight="1" spans="1:9">
      <c r="A87" s="11">
        <v>85</v>
      </c>
      <c r="B87" s="11" t="s">
        <v>97</v>
      </c>
      <c r="C87" s="11">
        <v>20230901</v>
      </c>
      <c r="D87" s="14" t="s">
        <v>82</v>
      </c>
      <c r="E87" s="11" t="str">
        <f>"202309011126"</f>
        <v>202309011126</v>
      </c>
      <c r="F87" s="19">
        <v>202311110304</v>
      </c>
      <c r="G87" s="16">
        <f>VLOOKUP(E87,[1]笔试排名!$E$3:$F$315,2,0)</f>
        <v>94.34</v>
      </c>
      <c r="H87" s="17">
        <v>76.34</v>
      </c>
      <c r="I87" s="17">
        <v>68.272</v>
      </c>
    </row>
    <row r="88" customHeight="1" spans="1:9">
      <c r="A88" s="11">
        <v>86</v>
      </c>
      <c r="B88" s="11" t="s">
        <v>98</v>
      </c>
      <c r="C88" s="11">
        <v>20230901</v>
      </c>
      <c r="D88" s="14" t="s">
        <v>82</v>
      </c>
      <c r="E88" s="11" t="str">
        <f>"202309011122"</f>
        <v>202309011122</v>
      </c>
      <c r="F88" s="19">
        <v>202311110306</v>
      </c>
      <c r="G88" s="16">
        <f>VLOOKUP(E88,[1]笔试排名!$E$3:$F$315,2,0)</f>
        <v>92.02</v>
      </c>
      <c r="H88" s="17">
        <v>71.72</v>
      </c>
      <c r="I88" s="17">
        <v>65.496</v>
      </c>
    </row>
    <row r="89" customHeight="1" spans="1:9">
      <c r="A89" s="11">
        <v>87</v>
      </c>
      <c r="B89" s="11" t="s">
        <v>99</v>
      </c>
      <c r="C89" s="20">
        <v>20230907</v>
      </c>
      <c r="D89" s="14" t="s">
        <v>11</v>
      </c>
      <c r="E89" s="11" t="str">
        <f>"202309011301"</f>
        <v>202309011301</v>
      </c>
      <c r="F89" s="19">
        <v>202311110316</v>
      </c>
      <c r="G89" s="16">
        <f>VLOOKUP(E89,[1]笔试排名!$E$3:$F$315,2,0)</f>
        <v>85.12</v>
      </c>
      <c r="H89" s="17" t="s">
        <v>17</v>
      </c>
      <c r="I89" s="17">
        <v>34.048</v>
      </c>
    </row>
    <row r="90" customHeight="1" spans="1:9">
      <c r="A90" s="11">
        <v>88</v>
      </c>
      <c r="B90" s="11" t="s">
        <v>100</v>
      </c>
      <c r="C90" s="20">
        <v>20230910</v>
      </c>
      <c r="D90" s="14" t="s">
        <v>11</v>
      </c>
      <c r="E90" s="11" t="str">
        <f>"202309012022"</f>
        <v>202309012022</v>
      </c>
      <c r="F90" s="19">
        <v>202311110329</v>
      </c>
      <c r="G90" s="16">
        <f>VLOOKUP(E90,[1]笔试排名!$E$3:$F$315,2,0)</f>
        <v>111.53</v>
      </c>
      <c r="H90" s="17">
        <v>76.72</v>
      </c>
      <c r="I90" s="17">
        <v>75.3</v>
      </c>
    </row>
    <row r="91" customHeight="1" spans="1:9">
      <c r="A91" s="11">
        <v>89</v>
      </c>
      <c r="B91" s="11" t="s">
        <v>101</v>
      </c>
      <c r="C91" s="20">
        <v>20230910</v>
      </c>
      <c r="D91" s="14" t="s">
        <v>11</v>
      </c>
      <c r="E91" s="11" t="str">
        <f>"202309012011"</f>
        <v>202309012011</v>
      </c>
      <c r="F91" s="19">
        <v>202311110331</v>
      </c>
      <c r="G91" s="16">
        <f>VLOOKUP(E91,[1]笔试排名!$E$3:$F$315,2,0)</f>
        <v>108.9</v>
      </c>
      <c r="H91" s="17">
        <v>75.5</v>
      </c>
      <c r="I91" s="17">
        <v>73.76</v>
      </c>
    </row>
    <row r="92" customHeight="1" spans="1:9">
      <c r="A92" s="11">
        <v>90</v>
      </c>
      <c r="B92" s="11" t="s">
        <v>102</v>
      </c>
      <c r="C92" s="20">
        <v>20230910</v>
      </c>
      <c r="D92" s="14" t="s">
        <v>11</v>
      </c>
      <c r="E92" s="11" t="str">
        <f>"202309011812"</f>
        <v>202309011812</v>
      </c>
      <c r="F92" s="19">
        <v>202311110332</v>
      </c>
      <c r="G92" s="16">
        <f>VLOOKUP(E92,[1]笔试排名!$E$3:$F$315,2,0)</f>
        <v>108.82</v>
      </c>
      <c r="H92" s="17">
        <v>74.2</v>
      </c>
      <c r="I92" s="17">
        <v>73.208</v>
      </c>
    </row>
    <row r="93" customHeight="1" spans="1:9">
      <c r="A93" s="11">
        <v>91</v>
      </c>
      <c r="B93" s="11" t="s">
        <v>103</v>
      </c>
      <c r="C93" s="20">
        <v>20230910</v>
      </c>
      <c r="D93" s="14" t="s">
        <v>11</v>
      </c>
      <c r="E93" s="11" t="str">
        <f>"202309011930"</f>
        <v>202309011930</v>
      </c>
      <c r="F93" s="19">
        <v>202311110334</v>
      </c>
      <c r="G93" s="16">
        <f>VLOOKUP(E93,[1]笔试排名!$E$3:$F$315,2,0)</f>
        <v>107.48</v>
      </c>
      <c r="H93" s="17">
        <v>80.04</v>
      </c>
      <c r="I93" s="17">
        <v>75.008</v>
      </c>
    </row>
    <row r="94" customHeight="1" spans="1:9">
      <c r="A94" s="11">
        <v>92</v>
      </c>
      <c r="B94" s="11" t="s">
        <v>104</v>
      </c>
      <c r="C94" s="20">
        <v>20230910</v>
      </c>
      <c r="D94" s="14" t="s">
        <v>11</v>
      </c>
      <c r="E94" s="11" t="str">
        <f>"202309012201"</f>
        <v>202309012201</v>
      </c>
      <c r="F94" s="19">
        <v>202311110333</v>
      </c>
      <c r="G94" s="16">
        <f>VLOOKUP(E94,[1]笔试排名!$E$3:$F$315,2,0)</f>
        <v>107.66</v>
      </c>
      <c r="H94" s="17">
        <v>76.3</v>
      </c>
      <c r="I94" s="17">
        <v>73.584</v>
      </c>
    </row>
    <row r="95" customHeight="1" spans="1:9">
      <c r="A95" s="11">
        <v>93</v>
      </c>
      <c r="B95" s="11" t="s">
        <v>105</v>
      </c>
      <c r="C95" s="20">
        <v>20230910</v>
      </c>
      <c r="D95" s="14" t="s">
        <v>11</v>
      </c>
      <c r="E95" s="11" t="str">
        <f>"202309011919"</f>
        <v>202309011919</v>
      </c>
      <c r="F95" s="19">
        <v>202311110330</v>
      </c>
      <c r="G95" s="16">
        <f>VLOOKUP(E95,[1]笔试排名!$E$3:$F$315,2,0)</f>
        <v>109.44</v>
      </c>
      <c r="H95" s="17">
        <v>78.08</v>
      </c>
      <c r="I95" s="17">
        <v>75.008</v>
      </c>
    </row>
    <row r="96" customHeight="1" spans="1:9">
      <c r="A96" s="11">
        <v>94</v>
      </c>
      <c r="B96" s="11" t="s">
        <v>106</v>
      </c>
      <c r="C96" s="20">
        <v>20230907</v>
      </c>
      <c r="D96" s="14" t="s">
        <v>11</v>
      </c>
      <c r="E96" s="11" t="str">
        <f>"202309011306"</f>
        <v>202309011306</v>
      </c>
      <c r="F96" s="19">
        <v>202311110315</v>
      </c>
      <c r="G96" s="16">
        <f>VLOOKUP(E96,[1]笔试排名!$E$3:$F$315,2,0)</f>
        <v>85.47</v>
      </c>
      <c r="H96" s="17">
        <v>72.3</v>
      </c>
      <c r="I96" s="17">
        <v>63.108</v>
      </c>
    </row>
    <row r="97" customHeight="1" spans="1:9">
      <c r="A97" s="11">
        <v>95</v>
      </c>
      <c r="B97" s="11" t="s">
        <v>107</v>
      </c>
      <c r="C97" s="20">
        <v>20230907</v>
      </c>
      <c r="D97" s="14" t="s">
        <v>11</v>
      </c>
      <c r="E97" s="11" t="str">
        <f>"202309011304"</f>
        <v>202309011304</v>
      </c>
      <c r="F97" s="19">
        <v>202311110311</v>
      </c>
      <c r="G97" s="16">
        <f>VLOOKUP(E97,[1]笔试排名!$E$3:$F$315,2,0)</f>
        <v>94.05</v>
      </c>
      <c r="H97" s="17">
        <v>76.6</v>
      </c>
      <c r="I97" s="17">
        <v>68.26</v>
      </c>
    </row>
    <row r="98" customHeight="1" spans="1:9">
      <c r="A98" s="11">
        <v>96</v>
      </c>
      <c r="B98" s="11" t="s">
        <v>108</v>
      </c>
      <c r="C98" s="20">
        <v>20230907</v>
      </c>
      <c r="D98" s="14" t="s">
        <v>11</v>
      </c>
      <c r="E98" s="11" t="str">
        <f>"202309011221"</f>
        <v>202309011221</v>
      </c>
      <c r="F98" s="19">
        <v>202311110317</v>
      </c>
      <c r="G98" s="16">
        <f>VLOOKUP(E98,[1]笔试排名!$E$3:$F$315,2,0)</f>
        <v>83.57</v>
      </c>
      <c r="H98" s="17" t="s">
        <v>17</v>
      </c>
      <c r="I98" s="17">
        <v>33.428</v>
      </c>
    </row>
    <row r="99" customHeight="1" spans="1:9">
      <c r="A99" s="11">
        <v>97</v>
      </c>
      <c r="B99" s="11" t="s">
        <v>109</v>
      </c>
      <c r="C99" s="20">
        <v>20230907</v>
      </c>
      <c r="D99" s="14" t="s">
        <v>11</v>
      </c>
      <c r="E99" s="11" t="str">
        <f>"202309011220"</f>
        <v>202309011220</v>
      </c>
      <c r="F99" s="19">
        <v>202311110313</v>
      </c>
      <c r="G99" s="16">
        <f>VLOOKUP(E99,[1]笔试排名!$E$3:$F$315,2,0)</f>
        <v>93.06</v>
      </c>
      <c r="H99" s="17" t="s">
        <v>17</v>
      </c>
      <c r="I99" s="17">
        <v>37.224</v>
      </c>
    </row>
    <row r="100" customHeight="1" spans="1:9">
      <c r="A100" s="11">
        <v>98</v>
      </c>
      <c r="B100" s="11" t="s">
        <v>110</v>
      </c>
      <c r="C100" s="20">
        <v>20230907</v>
      </c>
      <c r="D100" s="14" t="s">
        <v>11</v>
      </c>
      <c r="E100" s="11" t="str">
        <f>"202309011217"</f>
        <v>202309011217</v>
      </c>
      <c r="F100" s="19">
        <v>202311110312</v>
      </c>
      <c r="G100" s="16">
        <f>VLOOKUP(E100,[1]笔试排名!$E$3:$F$315,2,0)</f>
        <v>93.13</v>
      </c>
      <c r="H100" s="17">
        <v>72.8</v>
      </c>
      <c r="I100" s="17">
        <v>66.372</v>
      </c>
    </row>
    <row r="101" customHeight="1" spans="1:9">
      <c r="A101" s="11">
        <v>99</v>
      </c>
      <c r="B101" s="11" t="s">
        <v>111</v>
      </c>
      <c r="C101" s="20">
        <v>20230907</v>
      </c>
      <c r="D101" s="14" t="s">
        <v>11</v>
      </c>
      <c r="E101" s="11" t="str">
        <f>"202309011227"</f>
        <v>202309011227</v>
      </c>
      <c r="F101" s="19">
        <v>202311110314</v>
      </c>
      <c r="G101" s="16">
        <f>VLOOKUP(E101,[1]笔试排名!$E$3:$F$315,2,0)</f>
        <v>90.27</v>
      </c>
      <c r="H101" s="17">
        <v>78.18</v>
      </c>
      <c r="I101" s="17">
        <v>67.38</v>
      </c>
    </row>
    <row r="102" customHeight="1" spans="1:9">
      <c r="A102" s="11">
        <v>100</v>
      </c>
      <c r="B102" s="11" t="s">
        <v>112</v>
      </c>
      <c r="C102" s="20">
        <v>20230908</v>
      </c>
      <c r="D102" s="14" t="s">
        <v>11</v>
      </c>
      <c r="E102" s="11" t="str">
        <f>"202309011313"</f>
        <v>202309011313</v>
      </c>
      <c r="F102" s="19">
        <v>202311110318</v>
      </c>
      <c r="G102" s="16">
        <f>VLOOKUP(E102,[1]笔试排名!$E$3:$F$315,2,0)</f>
        <v>128.1</v>
      </c>
      <c r="H102" s="17" t="s">
        <v>17</v>
      </c>
      <c r="I102" s="17">
        <v>51.24</v>
      </c>
    </row>
    <row r="103" customHeight="1" spans="1:9">
      <c r="A103" s="11">
        <v>101</v>
      </c>
      <c r="B103" s="11" t="s">
        <v>113</v>
      </c>
      <c r="C103" s="20">
        <v>20230908</v>
      </c>
      <c r="D103" s="14" t="s">
        <v>11</v>
      </c>
      <c r="E103" s="11" t="str">
        <f>"202309011307"</f>
        <v>202309011307</v>
      </c>
      <c r="F103" s="19">
        <v>202311110320</v>
      </c>
      <c r="G103" s="16">
        <f>VLOOKUP(E103,[1]笔试排名!$E$3:$F$315,2,0)</f>
        <v>112.2</v>
      </c>
      <c r="H103" s="17" t="s">
        <v>17</v>
      </c>
      <c r="I103" s="17">
        <v>44.88</v>
      </c>
    </row>
    <row r="104" customHeight="1" spans="1:9">
      <c r="A104" s="11">
        <v>102</v>
      </c>
      <c r="B104" s="11" t="s">
        <v>114</v>
      </c>
      <c r="C104" s="20">
        <v>20230908</v>
      </c>
      <c r="D104" s="14" t="s">
        <v>11</v>
      </c>
      <c r="E104" s="11" t="str">
        <f>"202309011311"</f>
        <v>202309011311</v>
      </c>
      <c r="F104" s="19">
        <v>202311110321</v>
      </c>
      <c r="G104" s="16">
        <f>VLOOKUP(E104,[1]笔试排名!$E$3:$F$315,2,0)</f>
        <v>101.48</v>
      </c>
      <c r="H104" s="17" t="s">
        <v>17</v>
      </c>
      <c r="I104" s="17">
        <v>40.592</v>
      </c>
    </row>
    <row r="105" customHeight="1" spans="1:9">
      <c r="A105" s="11">
        <v>103</v>
      </c>
      <c r="B105" s="11" t="s">
        <v>115</v>
      </c>
      <c r="C105" s="20">
        <v>20230908</v>
      </c>
      <c r="D105" s="14" t="s">
        <v>11</v>
      </c>
      <c r="E105" s="11" t="str">
        <f>"202309011318"</f>
        <v>202309011318</v>
      </c>
      <c r="F105" s="19">
        <v>202311110322</v>
      </c>
      <c r="G105" s="16">
        <f>VLOOKUP(E105,[1]笔试排名!$E$3:$F$315,2,0)</f>
        <v>93.41</v>
      </c>
      <c r="H105" s="17" t="s">
        <v>17</v>
      </c>
      <c r="I105" s="17">
        <v>37.364</v>
      </c>
    </row>
    <row r="106" customHeight="1" spans="1:9">
      <c r="A106" s="11">
        <v>104</v>
      </c>
      <c r="B106" s="11" t="s">
        <v>116</v>
      </c>
      <c r="C106" s="20">
        <v>20230911</v>
      </c>
      <c r="D106" s="14" t="s">
        <v>11</v>
      </c>
      <c r="E106" s="11" t="str">
        <f>"202309012319"</f>
        <v>202309012319</v>
      </c>
      <c r="F106" s="19">
        <v>202311110406</v>
      </c>
      <c r="G106" s="16">
        <f>VLOOKUP(E106,[1]笔试排名!$E$3:$F$315,2,0)</f>
        <v>96.07</v>
      </c>
      <c r="H106" s="17">
        <v>75.2</v>
      </c>
      <c r="I106" s="17">
        <v>68.508</v>
      </c>
    </row>
    <row r="107" customHeight="1" spans="1:9">
      <c r="A107" s="11">
        <v>105</v>
      </c>
      <c r="B107" s="11" t="s">
        <v>117</v>
      </c>
      <c r="C107" s="20">
        <v>20230911</v>
      </c>
      <c r="D107" s="14" t="s">
        <v>11</v>
      </c>
      <c r="E107" s="11" t="str">
        <f>"202309012228"</f>
        <v>202309012228</v>
      </c>
      <c r="F107" s="19">
        <v>202311110402</v>
      </c>
      <c r="G107" s="16">
        <f>VLOOKUP(E107,[1]笔试排名!$E$3:$F$315,2,0)</f>
        <v>103.95</v>
      </c>
      <c r="H107" s="17">
        <v>74.8</v>
      </c>
      <c r="I107" s="17">
        <v>71.5</v>
      </c>
    </row>
    <row r="108" customHeight="1" spans="1:9">
      <c r="A108" s="11">
        <v>106</v>
      </c>
      <c r="B108" s="11" t="s">
        <v>118</v>
      </c>
      <c r="C108" s="20">
        <v>20230911</v>
      </c>
      <c r="D108" s="14" t="s">
        <v>11</v>
      </c>
      <c r="E108" s="11" t="str">
        <f>"202309012321"</f>
        <v>202309012321</v>
      </c>
      <c r="F108" s="19">
        <v>202311110405</v>
      </c>
      <c r="G108" s="16">
        <f>VLOOKUP(E108,[1]笔试排名!$E$3:$F$315,2,0)</f>
        <v>97.51</v>
      </c>
      <c r="H108" s="17">
        <v>75.4</v>
      </c>
      <c r="I108" s="17">
        <v>69.164</v>
      </c>
    </row>
    <row r="109" customHeight="1" spans="1:9">
      <c r="A109" s="11">
        <v>107</v>
      </c>
      <c r="B109" s="11" t="s">
        <v>119</v>
      </c>
      <c r="C109" s="20">
        <v>20230911</v>
      </c>
      <c r="D109" s="14" t="s">
        <v>11</v>
      </c>
      <c r="E109" s="11" t="str">
        <f>"202309012306"</f>
        <v>202309012306</v>
      </c>
      <c r="F109" s="19">
        <v>202311110401</v>
      </c>
      <c r="G109" s="16">
        <f>VLOOKUP(E109,[1]笔试排名!$E$3:$F$315,2,0)</f>
        <v>104.47</v>
      </c>
      <c r="H109" s="17">
        <v>77</v>
      </c>
      <c r="I109" s="17">
        <v>72.588</v>
      </c>
    </row>
    <row r="110" customHeight="1" spans="1:9">
      <c r="A110" s="11">
        <v>108</v>
      </c>
      <c r="B110" s="11" t="s">
        <v>120</v>
      </c>
      <c r="C110" s="20">
        <v>20230911</v>
      </c>
      <c r="D110" s="14" t="s">
        <v>11</v>
      </c>
      <c r="E110" s="11" t="str">
        <f>"202309012217"</f>
        <v>202309012217</v>
      </c>
      <c r="F110" s="19">
        <v>202311110404</v>
      </c>
      <c r="G110" s="16">
        <f>VLOOKUP(E110,[1]笔试排名!$E$3:$F$315,2,0)</f>
        <v>101.04</v>
      </c>
      <c r="H110" s="17">
        <v>74.8</v>
      </c>
      <c r="I110" s="17">
        <v>70.336</v>
      </c>
    </row>
    <row r="111" customHeight="1" spans="1:9">
      <c r="A111" s="11">
        <v>109</v>
      </c>
      <c r="B111" s="11" t="s">
        <v>121</v>
      </c>
      <c r="C111" s="20">
        <v>20230911</v>
      </c>
      <c r="D111" s="14" t="s">
        <v>11</v>
      </c>
      <c r="E111" s="11" t="str">
        <f>"202309012218"</f>
        <v>202309012218</v>
      </c>
      <c r="F111" s="19">
        <v>202311110403</v>
      </c>
      <c r="G111" s="16">
        <f>VLOOKUP(E111,[1]笔试排名!$E$3:$F$315,2,0)</f>
        <v>102.74</v>
      </c>
      <c r="H111" s="17">
        <v>79.6</v>
      </c>
      <c r="I111" s="17">
        <v>72.936</v>
      </c>
    </row>
    <row r="112" customHeight="1" spans="1:9">
      <c r="A112" s="11">
        <v>110</v>
      </c>
      <c r="B112" s="11" t="s">
        <v>122</v>
      </c>
      <c r="C112" s="20">
        <v>20230912</v>
      </c>
      <c r="D112" s="14" t="s">
        <v>11</v>
      </c>
      <c r="E112" s="11" t="str">
        <f>"202309014407"</f>
        <v>202309014407</v>
      </c>
      <c r="F112" s="19">
        <v>202311110409</v>
      </c>
      <c r="G112" s="16">
        <f>VLOOKUP(E112,[1]笔试排名!$E$3:$F$315,2,0)</f>
        <v>118.02</v>
      </c>
      <c r="H112" s="17">
        <v>79</v>
      </c>
      <c r="I112" s="17">
        <v>78.808</v>
      </c>
    </row>
    <row r="113" customHeight="1" spans="1:9">
      <c r="A113" s="11">
        <v>111</v>
      </c>
      <c r="B113" s="11" t="s">
        <v>123</v>
      </c>
      <c r="C113" s="20">
        <v>20230912</v>
      </c>
      <c r="D113" s="14" t="s">
        <v>11</v>
      </c>
      <c r="E113" s="11" t="str">
        <f>"202309012512"</f>
        <v>202309012512</v>
      </c>
      <c r="F113" s="19">
        <v>202311110418</v>
      </c>
      <c r="G113" s="16">
        <f>VLOOKUP(E113,[1]笔试排名!$E$3:$F$315,2,0)</f>
        <v>111.25</v>
      </c>
      <c r="H113" s="17">
        <v>75.7</v>
      </c>
      <c r="I113" s="17">
        <v>74.78</v>
      </c>
    </row>
    <row r="114" customHeight="1" spans="1:9">
      <c r="A114" s="11">
        <v>112</v>
      </c>
      <c r="B114" s="11" t="s">
        <v>124</v>
      </c>
      <c r="C114" s="20">
        <v>20230912</v>
      </c>
      <c r="D114" s="14" t="s">
        <v>11</v>
      </c>
      <c r="E114" s="11" t="str">
        <f>"202309013212"</f>
        <v>202309013212</v>
      </c>
      <c r="F114" s="19">
        <v>202311110412</v>
      </c>
      <c r="G114" s="16">
        <f>VLOOKUP(E114,[1]笔试排名!$E$3:$F$315,2,0)</f>
        <v>114.13</v>
      </c>
      <c r="H114" s="17">
        <v>73.2</v>
      </c>
      <c r="I114" s="17">
        <v>74.932</v>
      </c>
    </row>
    <row r="115" customHeight="1" spans="1:9">
      <c r="A115" s="11">
        <v>113</v>
      </c>
      <c r="B115" s="11" t="s">
        <v>125</v>
      </c>
      <c r="C115" s="20">
        <v>20230912</v>
      </c>
      <c r="D115" s="14" t="s">
        <v>11</v>
      </c>
      <c r="E115" s="11" t="str">
        <f>"202309013721"</f>
        <v>202309013721</v>
      </c>
      <c r="F115" s="19">
        <v>202311110424</v>
      </c>
      <c r="G115" s="16">
        <f>VLOOKUP(E115,[1]笔试排名!$E$3:$F$315,2,0)</f>
        <v>109.62</v>
      </c>
      <c r="H115" s="17">
        <v>73</v>
      </c>
      <c r="I115" s="17">
        <v>73.048</v>
      </c>
    </row>
    <row r="116" customHeight="1" spans="1:9">
      <c r="A116" s="11">
        <v>114</v>
      </c>
      <c r="B116" s="11" t="s">
        <v>126</v>
      </c>
      <c r="C116" s="20">
        <v>20230912</v>
      </c>
      <c r="D116" s="14" t="s">
        <v>11</v>
      </c>
      <c r="E116" s="11" t="str">
        <f>"202309013628"</f>
        <v>202309013628</v>
      </c>
      <c r="F116" s="19">
        <v>202311110414</v>
      </c>
      <c r="G116" s="16">
        <f>VLOOKUP(E116,[1]笔试排名!$E$3:$F$315,2,0)</f>
        <v>113.56</v>
      </c>
      <c r="H116" s="17">
        <v>69</v>
      </c>
      <c r="I116" s="17">
        <v>73.024</v>
      </c>
    </row>
    <row r="117" customHeight="1" spans="1:9">
      <c r="A117" s="11">
        <v>115</v>
      </c>
      <c r="B117" s="11" t="s">
        <v>127</v>
      </c>
      <c r="C117" s="20">
        <v>20230912</v>
      </c>
      <c r="D117" s="14" t="s">
        <v>11</v>
      </c>
      <c r="E117" s="11" t="str">
        <f>"202309012719"</f>
        <v>202309012719</v>
      </c>
      <c r="F117" s="19">
        <v>202311110428</v>
      </c>
      <c r="G117" s="16">
        <f>VLOOKUP(E117,[1]笔试排名!$E$3:$F$315,2,0)</f>
        <v>109.28</v>
      </c>
      <c r="H117" s="17">
        <v>69.2</v>
      </c>
      <c r="I117" s="17">
        <v>71.392</v>
      </c>
    </row>
    <row r="118" customHeight="1" spans="1:9">
      <c r="A118" s="11">
        <v>116</v>
      </c>
      <c r="B118" s="11" t="s">
        <v>63</v>
      </c>
      <c r="C118" s="20">
        <v>20230912</v>
      </c>
      <c r="D118" s="14" t="s">
        <v>11</v>
      </c>
      <c r="E118" s="11" t="str">
        <f>"202309013513"</f>
        <v>202309013513</v>
      </c>
      <c r="F118" s="19">
        <v>202311110415</v>
      </c>
      <c r="G118" s="16">
        <f>VLOOKUP(E118,[1]笔试排名!$E$3:$F$315,2,0)</f>
        <v>113.51</v>
      </c>
      <c r="H118" s="17">
        <v>69.8</v>
      </c>
      <c r="I118" s="17">
        <v>73.324</v>
      </c>
    </row>
    <row r="119" customHeight="1" spans="1:9">
      <c r="A119" s="11">
        <v>117</v>
      </c>
      <c r="B119" s="11" t="s">
        <v>128</v>
      </c>
      <c r="C119" s="20">
        <v>20230912</v>
      </c>
      <c r="D119" s="14" t="s">
        <v>11</v>
      </c>
      <c r="E119" s="11" t="str">
        <f>"202309013622"</f>
        <v>202309013622</v>
      </c>
      <c r="F119" s="19">
        <v>202311110431</v>
      </c>
      <c r="G119" s="16">
        <f>VLOOKUP(E119,[1]笔试排名!$E$3:$F$315,2,0)</f>
        <v>108.18</v>
      </c>
      <c r="H119" s="17">
        <v>75.4</v>
      </c>
      <c r="I119" s="17">
        <v>73.432</v>
      </c>
    </row>
    <row r="120" customHeight="1" spans="1:9">
      <c r="A120" s="11">
        <v>118</v>
      </c>
      <c r="B120" s="11" t="s">
        <v>129</v>
      </c>
      <c r="C120" s="20">
        <v>20230912</v>
      </c>
      <c r="D120" s="14" t="s">
        <v>11</v>
      </c>
      <c r="E120" s="11" t="str">
        <f>"202309013207"</f>
        <v>202309013207</v>
      </c>
      <c r="F120" s="19">
        <v>202311110420</v>
      </c>
      <c r="G120" s="16">
        <f>VLOOKUP(E120,[1]笔试排名!$E$3:$F$315,2,0)</f>
        <v>110.5</v>
      </c>
      <c r="H120" s="17">
        <v>74</v>
      </c>
      <c r="I120" s="17">
        <v>73.8</v>
      </c>
    </row>
    <row r="121" customHeight="1" spans="1:9">
      <c r="A121" s="11">
        <v>119</v>
      </c>
      <c r="B121" s="11" t="s">
        <v>130</v>
      </c>
      <c r="C121" s="20">
        <v>20230912</v>
      </c>
      <c r="D121" s="14" t="s">
        <v>11</v>
      </c>
      <c r="E121" s="11" t="str">
        <f>"202309013106"</f>
        <v>202309013106</v>
      </c>
      <c r="F121" s="19">
        <v>202311110430</v>
      </c>
      <c r="G121" s="16">
        <f>VLOOKUP(E121,[1]笔试排名!$E$3:$F$315,2,0)</f>
        <v>108.23</v>
      </c>
      <c r="H121" s="17">
        <v>73.2</v>
      </c>
      <c r="I121" s="17">
        <v>72.572</v>
      </c>
    </row>
    <row r="122" customHeight="1" spans="1:9">
      <c r="A122" s="11">
        <v>120</v>
      </c>
      <c r="B122" s="11" t="s">
        <v>131</v>
      </c>
      <c r="C122" s="20">
        <v>20230912</v>
      </c>
      <c r="D122" s="14" t="s">
        <v>11</v>
      </c>
      <c r="E122" s="11" t="str">
        <f>"202309013804"</f>
        <v>202309013804</v>
      </c>
      <c r="F122" s="19">
        <v>202311110416</v>
      </c>
      <c r="G122" s="16">
        <f>VLOOKUP(E122,[1]笔试排名!$E$3:$F$315,2,0)</f>
        <v>111.71</v>
      </c>
      <c r="H122" s="17">
        <v>70.8</v>
      </c>
      <c r="I122" s="17">
        <v>73.004</v>
      </c>
    </row>
    <row r="123" customHeight="1" spans="1:9">
      <c r="A123" s="11">
        <v>121</v>
      </c>
      <c r="B123" s="11" t="s">
        <v>132</v>
      </c>
      <c r="C123" s="20">
        <v>20230912</v>
      </c>
      <c r="D123" s="14" t="s">
        <v>11</v>
      </c>
      <c r="E123" s="11" t="str">
        <f>"202309013914"</f>
        <v>202309013914</v>
      </c>
      <c r="F123" s="19">
        <v>202311110407</v>
      </c>
      <c r="G123" s="16">
        <f>VLOOKUP(E123,[1]笔试排名!$E$3:$F$315,2,0)</f>
        <v>122.79</v>
      </c>
      <c r="H123" s="17">
        <v>70.2</v>
      </c>
      <c r="I123" s="17">
        <v>77.196</v>
      </c>
    </row>
    <row r="124" customHeight="1" spans="1:9">
      <c r="A124" s="11">
        <v>122</v>
      </c>
      <c r="B124" s="11" t="s">
        <v>133</v>
      </c>
      <c r="C124" s="20">
        <v>20230912</v>
      </c>
      <c r="D124" s="14" t="s">
        <v>11</v>
      </c>
      <c r="E124" s="11" t="str">
        <f>"202309013417"</f>
        <v>202309013417</v>
      </c>
      <c r="F124" s="19">
        <v>202311110422</v>
      </c>
      <c r="G124" s="16">
        <f>VLOOKUP(E124,[1]笔试排名!$E$3:$F$315,2,0)</f>
        <v>109.93</v>
      </c>
      <c r="H124" s="17">
        <v>72</v>
      </c>
      <c r="I124" s="17">
        <v>72.772</v>
      </c>
    </row>
    <row r="125" customHeight="1" spans="1:9">
      <c r="A125" s="11">
        <v>123</v>
      </c>
      <c r="B125" s="11" t="s">
        <v>134</v>
      </c>
      <c r="C125" s="20">
        <v>20230912</v>
      </c>
      <c r="D125" s="14" t="s">
        <v>11</v>
      </c>
      <c r="E125" s="11" t="str">
        <f>"202309012820"</f>
        <v>202309012820</v>
      </c>
      <c r="F125" s="19">
        <v>202311110408</v>
      </c>
      <c r="G125" s="16">
        <f>VLOOKUP(E125,[1]笔试排名!$E$3:$F$315,2,0)</f>
        <v>118.38</v>
      </c>
      <c r="H125" s="17">
        <v>73.6</v>
      </c>
      <c r="I125" s="17">
        <v>76.792</v>
      </c>
    </row>
    <row r="126" customHeight="1" spans="1:9">
      <c r="A126" s="11">
        <v>124</v>
      </c>
      <c r="B126" s="11" t="s">
        <v>135</v>
      </c>
      <c r="C126" s="20">
        <v>20230912</v>
      </c>
      <c r="D126" s="14" t="s">
        <v>11</v>
      </c>
      <c r="E126" s="11" t="str">
        <f>"202309013702"</f>
        <v>202309013702</v>
      </c>
      <c r="F126" s="19">
        <v>202311110411</v>
      </c>
      <c r="G126" s="16">
        <f>VLOOKUP(E126,[1]笔试排名!$E$3:$F$315,2,0)</f>
        <v>114.49</v>
      </c>
      <c r="H126" s="17">
        <v>74.8</v>
      </c>
      <c r="I126" s="17">
        <v>75.716</v>
      </c>
    </row>
    <row r="127" customHeight="1" spans="1:9">
      <c r="A127" s="11">
        <v>125</v>
      </c>
      <c r="B127" s="11" t="s">
        <v>136</v>
      </c>
      <c r="C127" s="20">
        <v>20230912</v>
      </c>
      <c r="D127" s="14" t="s">
        <v>11</v>
      </c>
      <c r="E127" s="11" t="str">
        <f>"202309013327"</f>
        <v>202309013327</v>
      </c>
      <c r="F127" s="19">
        <v>202311110426</v>
      </c>
      <c r="G127" s="16">
        <f>VLOOKUP(E127,[1]笔试排名!$E$3:$F$315,2,0)</f>
        <v>109.36</v>
      </c>
      <c r="H127" s="17">
        <v>75.4</v>
      </c>
      <c r="I127" s="17">
        <v>73.904</v>
      </c>
    </row>
    <row r="128" customHeight="1" spans="1:9">
      <c r="A128" s="11">
        <v>126</v>
      </c>
      <c r="B128" s="11" t="s">
        <v>137</v>
      </c>
      <c r="C128" s="20">
        <v>20230912</v>
      </c>
      <c r="D128" s="14" t="s">
        <v>11</v>
      </c>
      <c r="E128" s="11" t="str">
        <f>"202309014018"</f>
        <v>202309014018</v>
      </c>
      <c r="F128" s="19">
        <v>202311110421</v>
      </c>
      <c r="G128" s="16">
        <f>VLOOKUP(E128,[1]笔试排名!$E$3:$F$315,2,0)</f>
        <v>110.32</v>
      </c>
      <c r="H128" s="17">
        <v>72</v>
      </c>
      <c r="I128" s="17">
        <v>72.928</v>
      </c>
    </row>
    <row r="129" customHeight="1" spans="1:9">
      <c r="A129" s="11">
        <v>127</v>
      </c>
      <c r="B129" s="11" t="s">
        <v>138</v>
      </c>
      <c r="C129" s="20">
        <v>20230912</v>
      </c>
      <c r="D129" s="14" t="s">
        <v>11</v>
      </c>
      <c r="E129" s="11" t="str">
        <f>"202309012610"</f>
        <v>202309012610</v>
      </c>
      <c r="F129" s="19">
        <v>202311110425</v>
      </c>
      <c r="G129" s="16">
        <f>VLOOKUP(E129,[1]笔试排名!$E$3:$F$315,2,0)</f>
        <v>109.46</v>
      </c>
      <c r="H129" s="17">
        <v>66.8</v>
      </c>
      <c r="I129" s="17">
        <v>70.504</v>
      </c>
    </row>
    <row r="130" customHeight="1" spans="1:9">
      <c r="A130" s="11">
        <v>128</v>
      </c>
      <c r="B130" s="11" t="s">
        <v>139</v>
      </c>
      <c r="C130" s="20">
        <v>20230912</v>
      </c>
      <c r="D130" s="14" t="s">
        <v>11</v>
      </c>
      <c r="E130" s="11" t="str">
        <f>"202309012609"</f>
        <v>202309012609</v>
      </c>
      <c r="F130" s="19">
        <v>202311110429</v>
      </c>
      <c r="G130" s="16">
        <f>VLOOKUP(E130,[1]笔试排名!$E$3:$F$315,2,0)</f>
        <v>108.77</v>
      </c>
      <c r="H130" s="17">
        <v>65</v>
      </c>
      <c r="I130" s="17">
        <v>69.508</v>
      </c>
    </row>
    <row r="131" customHeight="1" spans="1:9">
      <c r="A131" s="11">
        <v>129</v>
      </c>
      <c r="B131" s="11" t="s">
        <v>140</v>
      </c>
      <c r="C131" s="20">
        <v>20230912</v>
      </c>
      <c r="D131" s="14" t="s">
        <v>11</v>
      </c>
      <c r="E131" s="11" t="str">
        <f>"202309014127"</f>
        <v>202309014127</v>
      </c>
      <c r="F131" s="19">
        <v>202311110419</v>
      </c>
      <c r="G131" s="16">
        <f>VLOOKUP(E131,[1]笔试排名!$E$3:$F$315,2,0)</f>
        <v>111.14</v>
      </c>
      <c r="H131" s="17" t="s">
        <v>17</v>
      </c>
      <c r="I131" s="17">
        <v>44.456</v>
      </c>
    </row>
    <row r="132" customHeight="1" spans="1:9">
      <c r="A132" s="11">
        <v>130</v>
      </c>
      <c r="B132" s="11" t="s">
        <v>141</v>
      </c>
      <c r="C132" s="20">
        <v>20230912</v>
      </c>
      <c r="D132" s="14" t="s">
        <v>11</v>
      </c>
      <c r="E132" s="11" t="str">
        <f>"202309013408"</f>
        <v>202309013408</v>
      </c>
      <c r="F132" s="19">
        <v>202311110410</v>
      </c>
      <c r="G132" s="16">
        <f>VLOOKUP(E132,[1]笔试排名!$E$3:$F$315,2,0)</f>
        <v>115.96</v>
      </c>
      <c r="H132" s="17">
        <v>73.6</v>
      </c>
      <c r="I132" s="17">
        <v>75.824</v>
      </c>
    </row>
    <row r="133" customHeight="1" spans="1:9">
      <c r="A133" s="11">
        <v>131</v>
      </c>
      <c r="B133" s="11" t="s">
        <v>142</v>
      </c>
      <c r="C133" s="20">
        <v>20230912</v>
      </c>
      <c r="D133" s="14" t="s">
        <v>11</v>
      </c>
      <c r="E133" s="11" t="str">
        <f>"202309013825"</f>
        <v>202309013825</v>
      </c>
      <c r="F133" s="19">
        <v>202311110434</v>
      </c>
      <c r="G133" s="16">
        <f>VLOOKUP(E133,[1]笔试排名!$E$3:$F$315,2,0)</f>
        <v>107.94</v>
      </c>
      <c r="H133" s="17">
        <v>68.2</v>
      </c>
      <c r="I133" s="17">
        <v>70.456</v>
      </c>
    </row>
    <row r="134" customHeight="1" spans="1:9">
      <c r="A134" s="11">
        <v>132</v>
      </c>
      <c r="B134" s="11" t="s">
        <v>143</v>
      </c>
      <c r="C134" s="20">
        <v>20230912</v>
      </c>
      <c r="D134" s="14" t="s">
        <v>11</v>
      </c>
      <c r="E134" s="11" t="str">
        <f>"202309013719"</f>
        <v>202309013719</v>
      </c>
      <c r="F134" s="19">
        <v>202311110427</v>
      </c>
      <c r="G134" s="16">
        <f>VLOOKUP(E134,[1]笔试排名!$E$3:$F$315,2,0)</f>
        <v>109.34</v>
      </c>
      <c r="H134" s="17">
        <v>64.6</v>
      </c>
      <c r="I134" s="17">
        <v>69.576</v>
      </c>
    </row>
    <row r="135" customHeight="1" spans="1:9">
      <c r="A135" s="11">
        <v>133</v>
      </c>
      <c r="B135" s="11" t="s">
        <v>144</v>
      </c>
      <c r="C135" s="20">
        <v>20230912</v>
      </c>
      <c r="D135" s="14" t="s">
        <v>11</v>
      </c>
      <c r="E135" s="11" t="str">
        <f>"202309014013"</f>
        <v>202309014013</v>
      </c>
      <c r="F135" s="19">
        <v>202311110436</v>
      </c>
      <c r="G135" s="16">
        <f>VLOOKUP(E135,[1]笔试排名!$E$3:$F$315,2,0)</f>
        <v>107.66</v>
      </c>
      <c r="H135" s="17">
        <v>61.4</v>
      </c>
      <c r="I135" s="17">
        <v>67.624</v>
      </c>
    </row>
    <row r="136" customHeight="1" spans="1:9">
      <c r="A136" s="11">
        <v>134</v>
      </c>
      <c r="B136" s="11" t="s">
        <v>145</v>
      </c>
      <c r="C136" s="20">
        <v>20230912</v>
      </c>
      <c r="D136" s="14" t="s">
        <v>11</v>
      </c>
      <c r="E136" s="11" t="str">
        <f>"202309012703"</f>
        <v>202309012703</v>
      </c>
      <c r="F136" s="19">
        <v>202311110417</v>
      </c>
      <c r="G136" s="16">
        <f>VLOOKUP(E136,[1]笔试排名!$E$3:$F$315,2,0)</f>
        <v>111.53</v>
      </c>
      <c r="H136" s="17">
        <v>73</v>
      </c>
      <c r="I136" s="17">
        <v>73.812</v>
      </c>
    </row>
    <row r="137" customHeight="1" spans="1:9">
      <c r="A137" s="11">
        <v>135</v>
      </c>
      <c r="B137" s="11" t="s">
        <v>146</v>
      </c>
      <c r="C137" s="20">
        <v>20230912</v>
      </c>
      <c r="D137" s="14" t="s">
        <v>11</v>
      </c>
      <c r="E137" s="11" t="str">
        <f>"202309013905"</f>
        <v>202309013905</v>
      </c>
      <c r="F137" s="19">
        <v>202311110432</v>
      </c>
      <c r="G137" s="16">
        <f>VLOOKUP(E137,[1]笔试排名!$E$3:$F$315,2,0)</f>
        <v>108.12</v>
      </c>
      <c r="H137" s="17">
        <v>76.8</v>
      </c>
      <c r="I137" s="17">
        <v>73.968</v>
      </c>
    </row>
    <row r="138" customHeight="1" spans="1:9">
      <c r="A138" s="11">
        <v>136</v>
      </c>
      <c r="B138" s="11" t="s">
        <v>147</v>
      </c>
      <c r="C138" s="20">
        <v>20230912</v>
      </c>
      <c r="D138" s="14" t="s">
        <v>11</v>
      </c>
      <c r="E138" s="11" t="str">
        <f>"202309013909"</f>
        <v>202309013909</v>
      </c>
      <c r="F138" s="19">
        <v>202311110413</v>
      </c>
      <c r="G138" s="16">
        <f>VLOOKUP(E138,[1]笔试排名!$E$3:$F$315,2,0)</f>
        <v>114.1</v>
      </c>
      <c r="H138" s="17">
        <v>76</v>
      </c>
      <c r="I138" s="17">
        <v>76.04</v>
      </c>
    </row>
    <row r="139" customHeight="1" spans="1:9">
      <c r="A139" s="11">
        <v>137</v>
      </c>
      <c r="B139" s="11" t="s">
        <v>148</v>
      </c>
      <c r="C139" s="20">
        <v>20230912</v>
      </c>
      <c r="D139" s="14" t="s">
        <v>11</v>
      </c>
      <c r="E139" s="11" t="str">
        <f>"202309014319"</f>
        <v>202309014319</v>
      </c>
      <c r="F139" s="19">
        <v>202311110435</v>
      </c>
      <c r="G139" s="16">
        <f>VLOOKUP(E139,[1]笔试排名!$E$3:$F$315,2,0)</f>
        <v>107.94</v>
      </c>
      <c r="H139" s="17">
        <v>68.8</v>
      </c>
      <c r="I139" s="17">
        <v>70.696</v>
      </c>
    </row>
    <row r="140" customHeight="1" spans="1:9">
      <c r="A140" s="11">
        <v>138</v>
      </c>
      <c r="B140" s="11" t="s">
        <v>149</v>
      </c>
      <c r="C140" s="20">
        <v>20230912</v>
      </c>
      <c r="D140" s="14" t="s">
        <v>11</v>
      </c>
      <c r="E140" s="11" t="str">
        <f>"202309013424"</f>
        <v>202309013424</v>
      </c>
      <c r="F140" s="19">
        <v>202311110423</v>
      </c>
      <c r="G140" s="16">
        <f>VLOOKUP(E140,[1]笔试排名!$E$3:$F$315,2,0)</f>
        <v>109.86</v>
      </c>
      <c r="H140" s="17">
        <v>67.8</v>
      </c>
      <c r="I140" s="17">
        <v>71.064</v>
      </c>
    </row>
    <row r="141" customHeight="1" spans="1:9">
      <c r="A141" s="11">
        <v>139</v>
      </c>
      <c r="B141" s="11" t="s">
        <v>150</v>
      </c>
      <c r="C141" s="20">
        <v>20230912</v>
      </c>
      <c r="D141" s="14" t="s">
        <v>11</v>
      </c>
      <c r="E141" s="11" t="str">
        <f>"202309013429"</f>
        <v>202309013429</v>
      </c>
      <c r="F141" s="19">
        <v>202311110433</v>
      </c>
      <c r="G141" s="16">
        <f>VLOOKUP(E141,[1]笔试排名!$E$3:$F$315,2,0)</f>
        <v>107.99</v>
      </c>
      <c r="H141" s="17">
        <v>71.8</v>
      </c>
      <c r="I141" s="17">
        <v>71.916</v>
      </c>
    </row>
    <row r="142" customHeight="1" spans="1:9">
      <c r="A142" s="11">
        <v>140</v>
      </c>
      <c r="B142" s="21" t="s">
        <v>151</v>
      </c>
      <c r="C142" s="20">
        <v>20230912</v>
      </c>
      <c r="D142" s="14" t="s">
        <v>82</v>
      </c>
      <c r="E142" s="21" t="str">
        <f>"202309021028"</f>
        <v>202309021028</v>
      </c>
      <c r="F142" s="22">
        <v>202311110526</v>
      </c>
      <c r="G142" s="16">
        <f>VLOOKUP(E142,[1]笔试排名!$E$3:$F$315,2,0)</f>
        <v>112.97</v>
      </c>
      <c r="H142" s="17">
        <v>67.6</v>
      </c>
      <c r="I142" s="17">
        <v>72.228</v>
      </c>
    </row>
    <row r="143" customHeight="1" spans="1:9">
      <c r="A143" s="11">
        <v>141</v>
      </c>
      <c r="B143" s="21" t="s">
        <v>152</v>
      </c>
      <c r="C143" s="20">
        <v>20230912</v>
      </c>
      <c r="D143" s="14" t="s">
        <v>82</v>
      </c>
      <c r="E143" s="21" t="str">
        <f>"202309014620"</f>
        <v>202309014620</v>
      </c>
      <c r="F143" s="22">
        <v>202311110541</v>
      </c>
      <c r="G143" s="16">
        <f>VLOOKUP(E143,[1]笔试排名!$E$3:$F$315,2,0)</f>
        <v>110.96</v>
      </c>
      <c r="H143" s="17">
        <v>71.4</v>
      </c>
      <c r="I143" s="17">
        <v>72.944</v>
      </c>
    </row>
    <row r="144" customHeight="1" spans="1:9">
      <c r="A144" s="11">
        <v>142</v>
      </c>
      <c r="B144" s="21" t="s">
        <v>153</v>
      </c>
      <c r="C144" s="20">
        <v>20230912</v>
      </c>
      <c r="D144" s="14" t="s">
        <v>82</v>
      </c>
      <c r="E144" s="21" t="str">
        <f>"202309014906"</f>
        <v>202309014906</v>
      </c>
      <c r="F144" s="22">
        <v>202311110542</v>
      </c>
      <c r="G144" s="16">
        <f>VLOOKUP(E144,[1]笔试排名!$E$3:$F$315,2,0)</f>
        <v>110.39</v>
      </c>
      <c r="H144" s="17">
        <v>67</v>
      </c>
      <c r="I144" s="17">
        <v>70.956</v>
      </c>
    </row>
    <row r="145" customHeight="1" spans="1:9">
      <c r="A145" s="11">
        <v>143</v>
      </c>
      <c r="B145" s="21" t="s">
        <v>154</v>
      </c>
      <c r="C145" s="20">
        <v>20230912</v>
      </c>
      <c r="D145" s="14" t="s">
        <v>82</v>
      </c>
      <c r="E145" s="21" t="str">
        <f>"202309016104"</f>
        <v>202309016104</v>
      </c>
      <c r="F145" s="22">
        <v>202311110539</v>
      </c>
      <c r="G145" s="16">
        <f>VLOOKUP(E145,[1]笔试排名!$E$3:$F$315,2,0)</f>
        <v>111.09</v>
      </c>
      <c r="H145" s="17">
        <v>71.4</v>
      </c>
      <c r="I145" s="17">
        <v>72.996</v>
      </c>
    </row>
    <row r="146" customHeight="1" spans="1:9">
      <c r="A146" s="11">
        <v>144</v>
      </c>
      <c r="B146" s="21" t="s">
        <v>155</v>
      </c>
      <c r="C146" s="20">
        <v>20230912</v>
      </c>
      <c r="D146" s="14" t="s">
        <v>82</v>
      </c>
      <c r="E146" s="21" t="str">
        <f>"202309014808"</f>
        <v>202309014808</v>
      </c>
      <c r="F146" s="22">
        <v>202311110524</v>
      </c>
      <c r="G146" s="16">
        <f>VLOOKUP(E146,[1]笔试排名!$E$3:$F$315,2,0)</f>
        <v>112.99</v>
      </c>
      <c r="H146" s="17">
        <v>75.4</v>
      </c>
      <c r="I146" s="17">
        <v>75.356</v>
      </c>
    </row>
    <row r="147" customHeight="1" spans="1:9">
      <c r="A147" s="11">
        <v>145</v>
      </c>
      <c r="B147" s="21" t="s">
        <v>156</v>
      </c>
      <c r="C147" s="20">
        <v>20230912</v>
      </c>
      <c r="D147" s="14" t="s">
        <v>82</v>
      </c>
      <c r="E147" s="21" t="str">
        <f>"202309016527"</f>
        <v>202309016527</v>
      </c>
      <c r="F147" s="22">
        <v>202311110544</v>
      </c>
      <c r="G147" s="16">
        <f>VLOOKUP(E147,[1]笔试排名!$E$3:$F$315,2,0)</f>
        <v>110.39</v>
      </c>
      <c r="H147" s="17">
        <v>75.3</v>
      </c>
      <c r="I147" s="17">
        <v>74.276</v>
      </c>
    </row>
    <row r="148" customHeight="1" spans="1:9">
      <c r="A148" s="11">
        <v>146</v>
      </c>
      <c r="B148" s="21" t="s">
        <v>157</v>
      </c>
      <c r="C148" s="20">
        <v>20230912</v>
      </c>
      <c r="D148" s="14" t="s">
        <v>82</v>
      </c>
      <c r="E148" s="21" t="str">
        <f>"202309016613"</f>
        <v>202309016613</v>
      </c>
      <c r="F148" s="22">
        <v>202311110502</v>
      </c>
      <c r="G148" s="16">
        <f>VLOOKUP(E148,[1]笔试排名!$E$3:$F$315,2,0)</f>
        <v>124.05</v>
      </c>
      <c r="H148" s="17" t="s">
        <v>17</v>
      </c>
      <c r="I148" s="17">
        <v>49.62</v>
      </c>
    </row>
    <row r="149" customHeight="1" spans="1:9">
      <c r="A149" s="11">
        <v>147</v>
      </c>
      <c r="B149" s="21" t="s">
        <v>158</v>
      </c>
      <c r="C149" s="20">
        <v>20230912</v>
      </c>
      <c r="D149" s="14" t="s">
        <v>82</v>
      </c>
      <c r="E149" s="21" t="str">
        <f>"202309015001"</f>
        <v>202309015001</v>
      </c>
      <c r="F149" s="22">
        <v>202311110505</v>
      </c>
      <c r="G149" s="16">
        <f>VLOOKUP(E149,[1]笔试排名!$E$3:$F$315,2,0)</f>
        <v>116.6</v>
      </c>
      <c r="H149" s="17" t="s">
        <v>17</v>
      </c>
      <c r="I149" s="17">
        <v>46.64</v>
      </c>
    </row>
    <row r="150" customHeight="1" spans="1:9">
      <c r="A150" s="11">
        <v>148</v>
      </c>
      <c r="B150" s="21" t="s">
        <v>159</v>
      </c>
      <c r="C150" s="20">
        <v>20230912</v>
      </c>
      <c r="D150" s="14" t="s">
        <v>82</v>
      </c>
      <c r="E150" s="21" t="str">
        <f>"202309021421"</f>
        <v>202309021421</v>
      </c>
      <c r="F150" s="22">
        <v>202311110507</v>
      </c>
      <c r="G150" s="16">
        <f>VLOOKUP(E150,[1]笔试排名!$E$3:$F$315,2,0)</f>
        <v>116.06</v>
      </c>
      <c r="H150" s="17">
        <v>77.4</v>
      </c>
      <c r="I150" s="17">
        <v>77.384</v>
      </c>
    </row>
    <row r="151" customHeight="1" spans="1:9">
      <c r="A151" s="11">
        <v>149</v>
      </c>
      <c r="B151" s="21" t="s">
        <v>160</v>
      </c>
      <c r="C151" s="20">
        <v>20230912</v>
      </c>
      <c r="D151" s="14" t="s">
        <v>82</v>
      </c>
      <c r="E151" s="21" t="str">
        <f>"202309014511"</f>
        <v>202309014511</v>
      </c>
      <c r="F151" s="22">
        <v>202311110514</v>
      </c>
      <c r="G151" s="16">
        <f>VLOOKUP(E151,[1]笔试排名!$E$3:$F$315,2,0)</f>
        <v>115.03</v>
      </c>
      <c r="H151" s="17" t="s">
        <v>17</v>
      </c>
      <c r="I151" s="17">
        <v>46.012</v>
      </c>
    </row>
    <row r="152" customHeight="1" spans="1:9">
      <c r="A152" s="11">
        <v>150</v>
      </c>
      <c r="B152" s="21" t="s">
        <v>161</v>
      </c>
      <c r="C152" s="20">
        <v>20230912</v>
      </c>
      <c r="D152" s="14" t="s">
        <v>82</v>
      </c>
      <c r="E152" s="21" t="str">
        <f>"202309014527"</f>
        <v>202309014527</v>
      </c>
      <c r="F152" s="22">
        <v>202311110522</v>
      </c>
      <c r="G152" s="16">
        <f>VLOOKUP(E152,[1]笔试排名!$E$3:$F$315,2,0)</f>
        <v>113.23</v>
      </c>
      <c r="H152" s="17">
        <v>78.5</v>
      </c>
      <c r="I152" s="17">
        <v>76.692</v>
      </c>
    </row>
    <row r="153" customHeight="1" spans="1:9">
      <c r="A153" s="11">
        <v>151</v>
      </c>
      <c r="B153" s="21" t="s">
        <v>162</v>
      </c>
      <c r="C153" s="20">
        <v>20230912</v>
      </c>
      <c r="D153" s="14" t="s">
        <v>82</v>
      </c>
      <c r="E153" s="21" t="str">
        <f>"202309017011"</f>
        <v>202309017011</v>
      </c>
      <c r="F153" s="22">
        <v>202311110538</v>
      </c>
      <c r="G153" s="16">
        <f>VLOOKUP(E153,[1]笔试排名!$E$3:$F$315,2,0)</f>
        <v>111.14</v>
      </c>
      <c r="H153" s="17">
        <v>78</v>
      </c>
      <c r="I153" s="17">
        <v>75.656</v>
      </c>
    </row>
    <row r="154" customHeight="1" spans="1:9">
      <c r="A154" s="11">
        <v>152</v>
      </c>
      <c r="B154" s="21" t="s">
        <v>163</v>
      </c>
      <c r="C154" s="20">
        <v>20230912</v>
      </c>
      <c r="D154" s="14" t="s">
        <v>82</v>
      </c>
      <c r="E154" s="21" t="str">
        <f>"202309015724"</f>
        <v>202309015724</v>
      </c>
      <c r="F154" s="22">
        <v>202311110516</v>
      </c>
      <c r="G154" s="16">
        <f>VLOOKUP(E154,[1]笔试排名!$E$3:$F$315,2,0)</f>
        <v>114.6</v>
      </c>
      <c r="H154" s="17" t="s">
        <v>17</v>
      </c>
      <c r="I154" s="17">
        <v>45.84</v>
      </c>
    </row>
    <row r="155" customHeight="1" spans="1:9">
      <c r="A155" s="11">
        <v>153</v>
      </c>
      <c r="B155" s="21" t="s">
        <v>164</v>
      </c>
      <c r="C155" s="20">
        <v>20230912</v>
      </c>
      <c r="D155" s="14" t="s">
        <v>82</v>
      </c>
      <c r="E155" s="21" t="str">
        <f>"202309015821"</f>
        <v>202309015821</v>
      </c>
      <c r="F155" s="22">
        <v>202311110543</v>
      </c>
      <c r="G155" s="16">
        <f>VLOOKUP(E155,[1]笔试排名!$E$3:$F$315,2,0)</f>
        <v>110.39</v>
      </c>
      <c r="H155" s="17">
        <v>74.8</v>
      </c>
      <c r="I155" s="17">
        <v>74.076</v>
      </c>
    </row>
    <row r="156" customHeight="1" spans="1:9">
      <c r="A156" s="11">
        <v>154</v>
      </c>
      <c r="B156" s="21" t="s">
        <v>165</v>
      </c>
      <c r="C156" s="20">
        <v>20230912</v>
      </c>
      <c r="D156" s="14" t="s">
        <v>82</v>
      </c>
      <c r="E156" s="21" t="str">
        <f>"202309015413"</f>
        <v>202309015413</v>
      </c>
      <c r="F156" s="22">
        <v>202311110537</v>
      </c>
      <c r="G156" s="16">
        <f>VLOOKUP(E156,[1]笔试排名!$E$3:$F$315,2,0)</f>
        <v>111.19</v>
      </c>
      <c r="H156" s="17">
        <v>76.4</v>
      </c>
      <c r="I156" s="17">
        <v>75.036</v>
      </c>
    </row>
    <row r="157" customHeight="1" spans="1:9">
      <c r="A157" s="11">
        <v>155</v>
      </c>
      <c r="B157" s="21" t="s">
        <v>166</v>
      </c>
      <c r="C157" s="20">
        <v>20230912</v>
      </c>
      <c r="D157" s="14" t="s">
        <v>82</v>
      </c>
      <c r="E157" s="21" t="str">
        <f>"202309014919"</f>
        <v>202309014919</v>
      </c>
      <c r="F157" s="22">
        <v>202311110517</v>
      </c>
      <c r="G157" s="16">
        <f>VLOOKUP(E157,[1]笔试排名!$E$3:$F$315,2,0)</f>
        <v>114.1</v>
      </c>
      <c r="H157" s="17" t="s">
        <v>17</v>
      </c>
      <c r="I157" s="17">
        <v>45.64</v>
      </c>
    </row>
    <row r="158" customHeight="1" spans="1:9">
      <c r="A158" s="11">
        <v>156</v>
      </c>
      <c r="B158" s="21" t="s">
        <v>167</v>
      </c>
      <c r="C158" s="20">
        <v>20230912</v>
      </c>
      <c r="D158" s="14" t="s">
        <v>82</v>
      </c>
      <c r="E158" s="21" t="str">
        <f>"202309016213"</f>
        <v>202309016213</v>
      </c>
      <c r="F158" s="22">
        <v>202311110521</v>
      </c>
      <c r="G158" s="16">
        <f>VLOOKUP(E158,[1]笔试排名!$E$3:$F$315,2,0)</f>
        <v>113.28</v>
      </c>
      <c r="H158" s="17">
        <v>80.5</v>
      </c>
      <c r="I158" s="17">
        <v>77.512</v>
      </c>
    </row>
    <row r="159" customHeight="1" spans="1:9">
      <c r="A159" s="11">
        <v>157</v>
      </c>
      <c r="B159" s="21" t="s">
        <v>168</v>
      </c>
      <c r="C159" s="20">
        <v>20230912</v>
      </c>
      <c r="D159" s="14" t="s">
        <v>82</v>
      </c>
      <c r="E159" s="21" t="str">
        <f>"202309021414"</f>
        <v>202309021414</v>
      </c>
      <c r="F159" s="22">
        <v>202311110511</v>
      </c>
      <c r="G159" s="16">
        <f>VLOOKUP(E159,[1]笔试排名!$E$3:$F$315,2,0)</f>
        <v>115.65</v>
      </c>
      <c r="H159" s="17">
        <v>77.16</v>
      </c>
      <c r="I159" s="17">
        <v>77.124</v>
      </c>
    </row>
    <row r="160" customHeight="1" spans="1:9">
      <c r="A160" s="11">
        <v>158</v>
      </c>
      <c r="B160" s="21" t="s">
        <v>169</v>
      </c>
      <c r="C160" s="20">
        <v>20230912</v>
      </c>
      <c r="D160" s="14" t="s">
        <v>82</v>
      </c>
      <c r="E160" s="21" t="str">
        <f>"202309014505"</f>
        <v>202309014505</v>
      </c>
      <c r="F160" s="22">
        <v>202311110528</v>
      </c>
      <c r="G160" s="16">
        <f>VLOOKUP(E160,[1]笔试排名!$E$3:$F$315,2,0)</f>
        <v>112.48</v>
      </c>
      <c r="H160" s="17" t="s">
        <v>17</v>
      </c>
      <c r="I160" s="17">
        <v>44.992</v>
      </c>
    </row>
    <row r="161" customHeight="1" spans="1:9">
      <c r="A161" s="11">
        <v>159</v>
      </c>
      <c r="B161" s="21" t="s">
        <v>170</v>
      </c>
      <c r="C161" s="20">
        <v>20230912</v>
      </c>
      <c r="D161" s="14" t="s">
        <v>82</v>
      </c>
      <c r="E161" s="21" t="str">
        <f>"202309020821"</f>
        <v>202309020821</v>
      </c>
      <c r="F161" s="22">
        <v>202311110529</v>
      </c>
      <c r="G161" s="16">
        <f>VLOOKUP(E161,[1]笔试排名!$E$3:$F$315,2,0)</f>
        <v>112.3</v>
      </c>
      <c r="H161" s="17" t="s">
        <v>17</v>
      </c>
      <c r="I161" s="17">
        <v>44.92</v>
      </c>
    </row>
    <row r="162" customHeight="1" spans="1:9">
      <c r="A162" s="11">
        <v>160</v>
      </c>
      <c r="B162" s="21" t="s">
        <v>171</v>
      </c>
      <c r="C162" s="20">
        <v>20230912</v>
      </c>
      <c r="D162" s="14" t="s">
        <v>82</v>
      </c>
      <c r="E162" s="21" t="str">
        <f>"202309016916"</f>
        <v>202309016916</v>
      </c>
      <c r="F162" s="22">
        <v>202311110530</v>
      </c>
      <c r="G162" s="16">
        <f>VLOOKUP(E162,[1]笔试排名!$E$3:$F$315,2,0)</f>
        <v>112.17</v>
      </c>
      <c r="H162" s="17" t="s">
        <v>17</v>
      </c>
      <c r="I162" s="17">
        <v>44.868</v>
      </c>
    </row>
    <row r="163" customHeight="1" spans="1:9">
      <c r="A163" s="11">
        <v>161</v>
      </c>
      <c r="B163" s="21" t="s">
        <v>172</v>
      </c>
      <c r="C163" s="20">
        <v>20230912</v>
      </c>
      <c r="D163" s="14" t="s">
        <v>82</v>
      </c>
      <c r="E163" s="21" t="str">
        <f>"202309021104"</f>
        <v>202309021104</v>
      </c>
      <c r="F163" s="22">
        <v>202311110533</v>
      </c>
      <c r="G163" s="16">
        <f>VLOOKUP(E163,[1]笔试排名!$E$3:$F$315,2,0)</f>
        <v>111.55</v>
      </c>
      <c r="H163" s="17">
        <v>71.8</v>
      </c>
      <c r="I163" s="17">
        <v>73.34</v>
      </c>
    </row>
    <row r="164" customHeight="1" spans="1:9">
      <c r="A164" s="11">
        <v>162</v>
      </c>
      <c r="B164" s="21" t="s">
        <v>173</v>
      </c>
      <c r="C164" s="20">
        <v>20230912</v>
      </c>
      <c r="D164" s="14" t="s">
        <v>82</v>
      </c>
      <c r="E164" s="21" t="str">
        <f>"202309020323"</f>
        <v>202309020323</v>
      </c>
      <c r="F164" s="22">
        <v>202311110534</v>
      </c>
      <c r="G164" s="16">
        <f>VLOOKUP(E164,[1]笔试排名!$E$3:$F$315,2,0)</f>
        <v>111.53</v>
      </c>
      <c r="H164" s="17">
        <v>79.2</v>
      </c>
      <c r="I164" s="17">
        <v>76.292</v>
      </c>
    </row>
    <row r="165" customHeight="1" spans="1:9">
      <c r="A165" s="11">
        <v>163</v>
      </c>
      <c r="B165" s="21" t="s">
        <v>174</v>
      </c>
      <c r="C165" s="20">
        <v>20230912</v>
      </c>
      <c r="D165" s="14" t="s">
        <v>82</v>
      </c>
      <c r="E165" s="21" t="str">
        <f>"202309020414"</f>
        <v>202309020414</v>
      </c>
      <c r="F165" s="22">
        <v>202311110531</v>
      </c>
      <c r="G165" s="16">
        <f>VLOOKUP(E165,[1]笔试排名!$E$3:$F$315,2,0)</f>
        <v>112.02</v>
      </c>
      <c r="H165" s="17" t="s">
        <v>17</v>
      </c>
      <c r="I165" s="17">
        <v>44.808</v>
      </c>
    </row>
    <row r="166" customHeight="1" spans="1:9">
      <c r="A166" s="11">
        <v>164</v>
      </c>
      <c r="B166" s="21" t="s">
        <v>175</v>
      </c>
      <c r="C166" s="20">
        <v>20230912</v>
      </c>
      <c r="D166" s="14" t="s">
        <v>82</v>
      </c>
      <c r="E166" s="21" t="str">
        <f>"202309015523"</f>
        <v>202309015523</v>
      </c>
      <c r="F166" s="22">
        <v>202311110513</v>
      </c>
      <c r="G166" s="16">
        <f>VLOOKUP(E166,[1]笔试排名!$E$3:$F$315,2,0)</f>
        <v>115.18</v>
      </c>
      <c r="H166" s="17">
        <v>80.2</v>
      </c>
      <c r="I166" s="17">
        <v>78.152</v>
      </c>
    </row>
    <row r="167" customHeight="1" spans="1:9">
      <c r="A167" s="11">
        <v>165</v>
      </c>
      <c r="B167" s="21" t="s">
        <v>176</v>
      </c>
      <c r="C167" s="20">
        <v>20230912</v>
      </c>
      <c r="D167" s="14" t="s">
        <v>82</v>
      </c>
      <c r="E167" s="21" t="str">
        <f>"202309014509"</f>
        <v>202309014509</v>
      </c>
      <c r="F167" s="22">
        <v>202311110545</v>
      </c>
      <c r="G167" s="16">
        <f>VLOOKUP(E167,[1]笔试排名!$E$3:$F$315,2,0)</f>
        <v>110.08</v>
      </c>
      <c r="H167" s="17">
        <v>75.2</v>
      </c>
      <c r="I167" s="17">
        <v>74.112</v>
      </c>
    </row>
    <row r="168" customHeight="1" spans="1:9">
      <c r="A168" s="11">
        <v>166</v>
      </c>
      <c r="B168" s="21" t="s">
        <v>177</v>
      </c>
      <c r="C168" s="20">
        <v>20230912</v>
      </c>
      <c r="D168" s="14" t="s">
        <v>82</v>
      </c>
      <c r="E168" s="21" t="str">
        <f>"202309021610"</f>
        <v>202309021610</v>
      </c>
      <c r="F168" s="22">
        <v>202311110535</v>
      </c>
      <c r="G168" s="16">
        <f>VLOOKUP(E168,[1]笔试排名!$E$3:$F$315,2,0)</f>
        <v>111.5</v>
      </c>
      <c r="H168" s="17">
        <v>69.2</v>
      </c>
      <c r="I168" s="17">
        <v>72.28</v>
      </c>
    </row>
    <row r="169" customHeight="1" spans="1:9">
      <c r="A169" s="11">
        <v>167</v>
      </c>
      <c r="B169" s="21" t="s">
        <v>178</v>
      </c>
      <c r="C169" s="20">
        <v>20230912</v>
      </c>
      <c r="D169" s="14" t="s">
        <v>82</v>
      </c>
      <c r="E169" s="21" t="str">
        <f>"202309021114"</f>
        <v>202309021114</v>
      </c>
      <c r="F169" s="22">
        <v>202311110540</v>
      </c>
      <c r="G169" s="16">
        <f>VLOOKUP(E169,[1]笔试排名!$E$3:$F$315,2,0)</f>
        <v>111.03</v>
      </c>
      <c r="H169" s="17">
        <v>73</v>
      </c>
      <c r="I169" s="17">
        <v>73.612</v>
      </c>
    </row>
    <row r="170" customHeight="1" spans="1:9">
      <c r="A170" s="11">
        <v>168</v>
      </c>
      <c r="B170" s="21" t="s">
        <v>179</v>
      </c>
      <c r="C170" s="20">
        <v>20230912</v>
      </c>
      <c r="D170" s="14" t="s">
        <v>82</v>
      </c>
      <c r="E170" s="21" t="str">
        <f>"202309021413"</f>
        <v>202309021413</v>
      </c>
      <c r="F170" s="22">
        <v>202311110518</v>
      </c>
      <c r="G170" s="16">
        <f>VLOOKUP(E170,[1]笔试排名!$E$3:$F$315,2,0)</f>
        <v>113.97</v>
      </c>
      <c r="H170" s="17">
        <v>77.3</v>
      </c>
      <c r="I170" s="17">
        <v>76.508</v>
      </c>
    </row>
    <row r="171" customHeight="1" spans="1:9">
      <c r="A171" s="11">
        <v>169</v>
      </c>
      <c r="B171" s="21" t="s">
        <v>180</v>
      </c>
      <c r="C171" s="20">
        <v>20230912</v>
      </c>
      <c r="D171" s="14" t="s">
        <v>82</v>
      </c>
      <c r="E171" s="21" t="str">
        <f>"202309020605"</f>
        <v>202309020605</v>
      </c>
      <c r="F171" s="22">
        <v>202311110508</v>
      </c>
      <c r="G171" s="16">
        <f>VLOOKUP(E171,[1]笔试排名!$E$3:$F$315,2,0)</f>
        <v>115.99</v>
      </c>
      <c r="H171" s="17">
        <v>73.4</v>
      </c>
      <c r="I171" s="17">
        <v>75.756</v>
      </c>
    </row>
    <row r="172" customHeight="1" spans="1:9">
      <c r="A172" s="11">
        <v>170</v>
      </c>
      <c r="B172" s="21" t="s">
        <v>181</v>
      </c>
      <c r="C172" s="20">
        <v>20230912</v>
      </c>
      <c r="D172" s="14" t="s">
        <v>82</v>
      </c>
      <c r="E172" s="21" t="str">
        <f>"202309015303"</f>
        <v>202309015303</v>
      </c>
      <c r="F172" s="22">
        <v>202311110506</v>
      </c>
      <c r="G172" s="16">
        <f>VLOOKUP(E172,[1]笔试排名!$E$3:$F$315,2,0)</f>
        <v>116.11</v>
      </c>
      <c r="H172" s="17">
        <v>78.4</v>
      </c>
      <c r="I172" s="17">
        <v>77.804</v>
      </c>
    </row>
    <row r="173" customHeight="1" spans="1:9">
      <c r="A173" s="11">
        <v>171</v>
      </c>
      <c r="B173" s="21" t="s">
        <v>182</v>
      </c>
      <c r="C173" s="20">
        <v>20230912</v>
      </c>
      <c r="D173" s="14" t="s">
        <v>82</v>
      </c>
      <c r="E173" s="21" t="str">
        <f>"202309021310"</f>
        <v>202309021310</v>
      </c>
      <c r="F173" s="22">
        <v>202311110523</v>
      </c>
      <c r="G173" s="16">
        <f>VLOOKUP(E173,[1]笔试排名!$E$3:$F$315,2,0)</f>
        <v>113.1</v>
      </c>
      <c r="H173" s="17">
        <v>80.3</v>
      </c>
      <c r="I173" s="17">
        <v>77.36</v>
      </c>
    </row>
    <row r="174" customHeight="1" spans="1:9">
      <c r="A174" s="11">
        <v>172</v>
      </c>
      <c r="B174" s="21" t="s">
        <v>183</v>
      </c>
      <c r="C174" s="20">
        <v>20230912</v>
      </c>
      <c r="D174" s="14" t="s">
        <v>82</v>
      </c>
      <c r="E174" s="21" t="str">
        <f>"202309021602"</f>
        <v>202309021602</v>
      </c>
      <c r="F174" s="22">
        <v>202311110519</v>
      </c>
      <c r="G174" s="16">
        <f>VLOOKUP(E174,[1]笔试排名!$E$3:$F$315,2,0)</f>
        <v>113.69</v>
      </c>
      <c r="H174" s="17">
        <v>77.5</v>
      </c>
      <c r="I174" s="17">
        <v>76.476</v>
      </c>
    </row>
    <row r="175" customHeight="1" spans="1:9">
      <c r="A175" s="11">
        <v>173</v>
      </c>
      <c r="B175" s="21" t="s">
        <v>184</v>
      </c>
      <c r="C175" s="20">
        <v>20230912</v>
      </c>
      <c r="D175" s="14" t="s">
        <v>82</v>
      </c>
      <c r="E175" s="21" t="str">
        <f>"202309015315"</f>
        <v>202309015315</v>
      </c>
      <c r="F175" s="22">
        <v>202311110520</v>
      </c>
      <c r="G175" s="16">
        <f>VLOOKUP(E175,[1]笔试排名!$E$3:$F$315,2,0)</f>
        <v>113.33</v>
      </c>
      <c r="H175" s="17">
        <v>75.6</v>
      </c>
      <c r="I175" s="17">
        <v>75.572</v>
      </c>
    </row>
    <row r="176" customHeight="1" spans="1:9">
      <c r="A176" s="11">
        <v>174</v>
      </c>
      <c r="B176" s="21" t="s">
        <v>185</v>
      </c>
      <c r="C176" s="20">
        <v>20230912</v>
      </c>
      <c r="D176" s="14" t="s">
        <v>82</v>
      </c>
      <c r="E176" s="21" t="str">
        <f>"202309021128"</f>
        <v>202309021128</v>
      </c>
      <c r="F176" s="22">
        <v>202311110504</v>
      </c>
      <c r="G176" s="16">
        <f>VLOOKUP(E176,[1]笔试排名!$E$3:$F$315,2,0)</f>
        <v>118.49</v>
      </c>
      <c r="H176" s="17">
        <v>80.2</v>
      </c>
      <c r="I176" s="17">
        <v>79.476</v>
      </c>
    </row>
    <row r="177" customHeight="1" spans="1:9">
      <c r="A177" s="11">
        <v>175</v>
      </c>
      <c r="B177" s="21" t="s">
        <v>186</v>
      </c>
      <c r="C177" s="20">
        <v>20230912</v>
      </c>
      <c r="D177" s="14" t="s">
        <v>82</v>
      </c>
      <c r="E177" s="21" t="str">
        <f>"202309020907"</f>
        <v>202309020907</v>
      </c>
      <c r="F177" s="22">
        <v>202311110510</v>
      </c>
      <c r="G177" s="16">
        <f>VLOOKUP(E177,[1]笔试排名!$E$3:$F$315,2,0)</f>
        <v>115.65</v>
      </c>
      <c r="H177" s="17">
        <v>81.2</v>
      </c>
      <c r="I177" s="17">
        <v>78.74</v>
      </c>
    </row>
    <row r="178" customHeight="1" spans="1:9">
      <c r="A178" s="11">
        <v>176</v>
      </c>
      <c r="B178" s="21" t="s">
        <v>187</v>
      </c>
      <c r="C178" s="20">
        <v>20230912</v>
      </c>
      <c r="D178" s="14" t="s">
        <v>82</v>
      </c>
      <c r="E178" s="21" t="str">
        <f>"202309016329"</f>
        <v>202309016329</v>
      </c>
      <c r="F178" s="22">
        <v>202311110515</v>
      </c>
      <c r="G178" s="16">
        <f>VLOOKUP(E178,[1]笔试排名!$E$3:$F$315,2,0)</f>
        <v>114.77</v>
      </c>
      <c r="H178" s="17">
        <v>80.4</v>
      </c>
      <c r="I178" s="17">
        <v>78.068</v>
      </c>
    </row>
    <row r="179" customHeight="1" spans="1:9">
      <c r="A179" s="11">
        <v>177</v>
      </c>
      <c r="B179" s="21" t="s">
        <v>188</v>
      </c>
      <c r="C179" s="20">
        <v>20230912</v>
      </c>
      <c r="D179" s="14" t="s">
        <v>82</v>
      </c>
      <c r="E179" s="21" t="str">
        <f>"202309016218"</f>
        <v>202309016218</v>
      </c>
      <c r="F179" s="22">
        <v>202311110536</v>
      </c>
      <c r="G179" s="16">
        <f>VLOOKUP(E179,[1]笔试排名!$E$3:$F$315,2,0)</f>
        <v>111.48</v>
      </c>
      <c r="H179" s="17" t="s">
        <v>17</v>
      </c>
      <c r="I179" s="17">
        <v>44.592</v>
      </c>
    </row>
    <row r="180" customHeight="1" spans="1:9">
      <c r="A180" s="11">
        <v>178</v>
      </c>
      <c r="B180" s="21" t="s">
        <v>189</v>
      </c>
      <c r="C180" s="20">
        <v>20230912</v>
      </c>
      <c r="D180" s="14" t="s">
        <v>82</v>
      </c>
      <c r="E180" s="21" t="str">
        <f>"202309016604"</f>
        <v>202309016604</v>
      </c>
      <c r="F180" s="22">
        <v>202311110503</v>
      </c>
      <c r="G180" s="16">
        <f>VLOOKUP(E180,[1]笔试排名!$E$3:$F$315,2,0)</f>
        <v>120.85</v>
      </c>
      <c r="H180" s="17">
        <v>79.1</v>
      </c>
      <c r="I180" s="17">
        <v>79.98</v>
      </c>
    </row>
    <row r="181" customHeight="1" spans="1:9">
      <c r="A181" s="11">
        <v>179</v>
      </c>
      <c r="B181" s="21" t="s">
        <v>190</v>
      </c>
      <c r="C181" s="20">
        <v>20230912</v>
      </c>
      <c r="D181" s="14" t="s">
        <v>82</v>
      </c>
      <c r="E181" s="21" t="str">
        <f>"202309021822"</f>
        <v>202309021822</v>
      </c>
      <c r="F181" s="22">
        <v>202311110512</v>
      </c>
      <c r="G181" s="16">
        <f>VLOOKUP(E181,[1]笔试排名!$E$3:$F$315,2,0)</f>
        <v>115.24</v>
      </c>
      <c r="H181" s="17">
        <v>78.6</v>
      </c>
      <c r="I181" s="17">
        <v>77.536</v>
      </c>
    </row>
    <row r="182" customHeight="1" spans="1:9">
      <c r="A182" s="11">
        <v>180</v>
      </c>
      <c r="B182" s="21" t="s">
        <v>191</v>
      </c>
      <c r="C182" s="20">
        <v>20230912</v>
      </c>
      <c r="D182" s="14" t="s">
        <v>82</v>
      </c>
      <c r="E182" s="21" t="str">
        <f>"202309020123"</f>
        <v>202309020123</v>
      </c>
      <c r="F182" s="22">
        <v>202311110532</v>
      </c>
      <c r="G182" s="16">
        <f>VLOOKUP(E182,[1]笔试排名!$E$3:$F$315,2,0)</f>
        <v>111.89</v>
      </c>
      <c r="H182" s="17">
        <v>76.9</v>
      </c>
      <c r="I182" s="17">
        <v>75.516</v>
      </c>
    </row>
    <row r="183" customHeight="1" spans="1:9">
      <c r="A183" s="11">
        <v>181</v>
      </c>
      <c r="B183" s="21" t="s">
        <v>122</v>
      </c>
      <c r="C183" s="20">
        <v>20230912</v>
      </c>
      <c r="D183" s="14" t="s">
        <v>82</v>
      </c>
      <c r="E183" s="21" t="str">
        <f>"202309021215"</f>
        <v>202309021215</v>
      </c>
      <c r="F183" s="22">
        <v>202311110509</v>
      </c>
      <c r="G183" s="16">
        <f>VLOOKUP(E183,[1]笔试排名!$E$3:$F$315,2,0)</f>
        <v>115.7</v>
      </c>
      <c r="H183" s="17">
        <v>79.4</v>
      </c>
      <c r="I183" s="17">
        <v>78.04</v>
      </c>
    </row>
    <row r="184" customHeight="1" spans="1:9">
      <c r="A184" s="11">
        <v>182</v>
      </c>
      <c r="B184" s="21" t="s">
        <v>192</v>
      </c>
      <c r="C184" s="20">
        <v>20230912</v>
      </c>
      <c r="D184" s="14" t="s">
        <v>82</v>
      </c>
      <c r="E184" s="21" t="str">
        <f>"202309016402"</f>
        <v>202309016402</v>
      </c>
      <c r="F184" s="22">
        <v>202311110527</v>
      </c>
      <c r="G184" s="16">
        <f>VLOOKUP(E184,[1]笔试排名!$E$3:$F$315,2,0)</f>
        <v>112.79</v>
      </c>
      <c r="H184" s="17">
        <v>73.6</v>
      </c>
      <c r="I184" s="17">
        <v>74.556</v>
      </c>
    </row>
    <row r="185" customHeight="1" spans="1:9">
      <c r="A185" s="11">
        <v>183</v>
      </c>
      <c r="B185" s="21" t="s">
        <v>193</v>
      </c>
      <c r="C185" s="20">
        <v>20230912</v>
      </c>
      <c r="D185" s="14" t="s">
        <v>82</v>
      </c>
      <c r="E185" s="21" t="str">
        <f>"202309015225"</f>
        <v>202309015225</v>
      </c>
      <c r="F185" s="22">
        <v>202311110525</v>
      </c>
      <c r="G185" s="16">
        <f>VLOOKUP(E185,[1]笔试排名!$E$3:$F$315,2,0)</f>
        <v>112.99</v>
      </c>
      <c r="H185" s="17">
        <v>71</v>
      </c>
      <c r="I185" s="17">
        <v>73.596</v>
      </c>
    </row>
    <row r="186" customHeight="1" spans="1:9">
      <c r="A186" s="11">
        <v>184</v>
      </c>
      <c r="B186" s="21" t="s">
        <v>194</v>
      </c>
      <c r="C186" s="20">
        <v>20230912</v>
      </c>
      <c r="D186" s="14" t="s">
        <v>82</v>
      </c>
      <c r="E186" s="21" t="str">
        <f>"202309020720"</f>
        <v>202309020720</v>
      </c>
      <c r="F186" s="22">
        <v>202311110501</v>
      </c>
      <c r="G186" s="16">
        <f>VLOOKUP(E186,[1]笔试排名!$E$3:$F$315,2,0)</f>
        <v>126.76</v>
      </c>
      <c r="H186" s="17">
        <v>73.8</v>
      </c>
      <c r="I186" s="17">
        <v>80.224</v>
      </c>
    </row>
    <row r="187" customHeight="1" spans="1:9">
      <c r="A187" s="11">
        <v>185</v>
      </c>
      <c r="B187" s="21" t="s">
        <v>195</v>
      </c>
      <c r="C187" s="20">
        <v>20230912</v>
      </c>
      <c r="D187" s="14" t="s">
        <v>196</v>
      </c>
      <c r="E187" s="21" t="str">
        <f>"202309022624"</f>
        <v>202309022624</v>
      </c>
      <c r="F187" s="22">
        <v>202311110619</v>
      </c>
      <c r="G187" s="16">
        <f>VLOOKUP(E187,[1]笔试排名!$E$3:$F$315,2,0)</f>
        <v>119.59</v>
      </c>
      <c r="H187" s="17">
        <v>66.6</v>
      </c>
      <c r="I187" s="17">
        <v>74.476</v>
      </c>
    </row>
    <row r="188" customHeight="1" spans="1:9">
      <c r="A188" s="11">
        <v>186</v>
      </c>
      <c r="B188" s="21" t="s">
        <v>197</v>
      </c>
      <c r="C188" s="20">
        <v>20230912</v>
      </c>
      <c r="D188" s="14" t="s">
        <v>196</v>
      </c>
      <c r="E188" s="21" t="str">
        <f>"202309022420"</f>
        <v>202309022420</v>
      </c>
      <c r="F188" s="22">
        <v>202311110616</v>
      </c>
      <c r="G188" s="16">
        <f>VLOOKUP(E188,[1]笔试排名!$E$3:$F$315,2,0)</f>
        <v>120.34</v>
      </c>
      <c r="H188" s="17">
        <v>77.2</v>
      </c>
      <c r="I188" s="17">
        <v>79.016</v>
      </c>
    </row>
    <row r="189" customHeight="1" spans="1:9">
      <c r="A189" s="11">
        <v>187</v>
      </c>
      <c r="B189" s="21" t="s">
        <v>198</v>
      </c>
      <c r="C189" s="20">
        <v>20230912</v>
      </c>
      <c r="D189" s="14" t="s">
        <v>196</v>
      </c>
      <c r="E189" s="21" t="str">
        <f>"202309024423"</f>
        <v>202309024423</v>
      </c>
      <c r="F189" s="22">
        <v>202311110631</v>
      </c>
      <c r="G189" s="16">
        <f>VLOOKUP(E189,[1]笔试排名!$E$3:$F$315,2,0)</f>
        <v>116.86</v>
      </c>
      <c r="H189" s="17">
        <v>76.4</v>
      </c>
      <c r="I189" s="17">
        <v>77.304</v>
      </c>
    </row>
    <row r="190" customHeight="1" spans="1:9">
      <c r="A190" s="11">
        <v>188</v>
      </c>
      <c r="B190" s="21" t="s">
        <v>199</v>
      </c>
      <c r="C190" s="20">
        <v>20230912</v>
      </c>
      <c r="D190" s="14" t="s">
        <v>196</v>
      </c>
      <c r="E190" s="21" t="str">
        <f>"202309022730"</f>
        <v>202309022730</v>
      </c>
      <c r="F190" s="22">
        <v>202311110610</v>
      </c>
      <c r="G190" s="16">
        <f>VLOOKUP(E190,[1]笔试排名!$E$3:$F$315,2,0)</f>
        <v>121.96</v>
      </c>
      <c r="H190" s="17">
        <v>74.8</v>
      </c>
      <c r="I190" s="17">
        <v>78.704</v>
      </c>
    </row>
    <row r="191" customHeight="1" spans="1:9">
      <c r="A191" s="11">
        <v>189</v>
      </c>
      <c r="B191" s="21" t="s">
        <v>200</v>
      </c>
      <c r="C191" s="20">
        <v>20230912</v>
      </c>
      <c r="D191" s="14" t="s">
        <v>196</v>
      </c>
      <c r="E191" s="21" t="str">
        <f>"202309024112"</f>
        <v>202309024112</v>
      </c>
      <c r="F191" s="22">
        <v>202311110609</v>
      </c>
      <c r="G191" s="16">
        <f>VLOOKUP(E191,[1]笔试排名!$E$3:$F$315,2,0)</f>
        <v>122.2</v>
      </c>
      <c r="H191" s="17">
        <v>81.2</v>
      </c>
      <c r="I191" s="17">
        <v>81.36</v>
      </c>
    </row>
    <row r="192" customHeight="1" spans="1:9">
      <c r="A192" s="11">
        <v>190</v>
      </c>
      <c r="B192" s="21" t="s">
        <v>201</v>
      </c>
      <c r="C192" s="20">
        <v>20230912</v>
      </c>
      <c r="D192" s="14" t="s">
        <v>196</v>
      </c>
      <c r="E192" s="21" t="str">
        <f>"202309023026"</f>
        <v>202309023026</v>
      </c>
      <c r="F192" s="22">
        <v>202311110638</v>
      </c>
      <c r="G192" s="16">
        <f>VLOOKUP(E192,[1]笔试排名!$E$3:$F$315,2,0)</f>
        <v>116.11</v>
      </c>
      <c r="H192" s="17">
        <v>79.2</v>
      </c>
      <c r="I192" s="17">
        <v>78.124</v>
      </c>
    </row>
    <row r="193" customHeight="1" spans="1:9">
      <c r="A193" s="11">
        <v>191</v>
      </c>
      <c r="B193" s="21" t="s">
        <v>202</v>
      </c>
      <c r="C193" s="20">
        <v>20230912</v>
      </c>
      <c r="D193" s="14" t="s">
        <v>196</v>
      </c>
      <c r="E193" s="21" t="str">
        <f>"202309022228"</f>
        <v>202309022228</v>
      </c>
      <c r="F193" s="22">
        <v>202311110642</v>
      </c>
      <c r="G193" s="16">
        <f>VLOOKUP(E193,[1]笔试排名!$E$3:$F$315,2,0)</f>
        <v>115.83</v>
      </c>
      <c r="H193" s="17">
        <v>81.4</v>
      </c>
      <c r="I193" s="17">
        <v>78.892</v>
      </c>
    </row>
    <row r="194" customHeight="1" spans="1:9">
      <c r="A194" s="11">
        <v>192</v>
      </c>
      <c r="B194" s="21" t="s">
        <v>203</v>
      </c>
      <c r="C194" s="20">
        <v>20230912</v>
      </c>
      <c r="D194" s="14" t="s">
        <v>196</v>
      </c>
      <c r="E194" s="21" t="str">
        <f>"202309023427"</f>
        <v>202309023427</v>
      </c>
      <c r="F194" s="22">
        <v>202311110607</v>
      </c>
      <c r="G194" s="16">
        <f>VLOOKUP(E194,[1]笔试排名!$E$3:$F$315,2,0)</f>
        <v>123.07</v>
      </c>
      <c r="H194" s="17">
        <v>82.4</v>
      </c>
      <c r="I194" s="17">
        <v>82.188</v>
      </c>
    </row>
    <row r="195" customHeight="1" spans="1:9">
      <c r="A195" s="11">
        <v>193</v>
      </c>
      <c r="B195" s="21" t="s">
        <v>204</v>
      </c>
      <c r="C195" s="20">
        <v>20230912</v>
      </c>
      <c r="D195" s="14" t="s">
        <v>196</v>
      </c>
      <c r="E195" s="21" t="str">
        <f>"202309024228"</f>
        <v>202309024228</v>
      </c>
      <c r="F195" s="22">
        <v>202311110602</v>
      </c>
      <c r="G195" s="16">
        <f>VLOOKUP(E195,[1]笔试排名!$E$3:$F$315,2,0)</f>
        <v>125.03</v>
      </c>
      <c r="H195" s="17">
        <v>78.8</v>
      </c>
      <c r="I195" s="17">
        <v>81.532</v>
      </c>
    </row>
    <row r="196" customHeight="1" spans="1:9">
      <c r="A196" s="11">
        <v>194</v>
      </c>
      <c r="B196" s="21" t="s">
        <v>205</v>
      </c>
      <c r="C196" s="20">
        <v>20230912</v>
      </c>
      <c r="D196" s="14" t="s">
        <v>196</v>
      </c>
      <c r="E196" s="21" t="str">
        <f>"202309023206"</f>
        <v>202309023206</v>
      </c>
      <c r="F196" s="22">
        <v>202311110618</v>
      </c>
      <c r="G196" s="16">
        <f>VLOOKUP(E196,[1]笔试排名!$E$3:$F$315,2,0)</f>
        <v>119.7</v>
      </c>
      <c r="H196" s="17">
        <v>76.4</v>
      </c>
      <c r="I196" s="17">
        <v>78.44</v>
      </c>
    </row>
    <row r="197" customHeight="1" spans="1:9">
      <c r="A197" s="11">
        <v>195</v>
      </c>
      <c r="B197" s="21" t="s">
        <v>206</v>
      </c>
      <c r="C197" s="20">
        <v>20230912</v>
      </c>
      <c r="D197" s="14" t="s">
        <v>196</v>
      </c>
      <c r="E197" s="21" t="str">
        <f>"202309024501"</f>
        <v>202309024501</v>
      </c>
      <c r="F197" s="22">
        <v>202311110613</v>
      </c>
      <c r="G197" s="16">
        <f>VLOOKUP(E197,[1]笔试排名!$E$3:$F$315,2,0)</f>
        <v>121.22</v>
      </c>
      <c r="H197" s="17">
        <v>77.2</v>
      </c>
      <c r="I197" s="17">
        <v>79.368</v>
      </c>
    </row>
    <row r="198" customHeight="1" spans="1:9">
      <c r="A198" s="11">
        <v>196</v>
      </c>
      <c r="B198" s="21" t="s">
        <v>207</v>
      </c>
      <c r="C198" s="20">
        <v>20230912</v>
      </c>
      <c r="D198" s="14" t="s">
        <v>196</v>
      </c>
      <c r="E198" s="21" t="str">
        <f>"202309024716"</f>
        <v>202309024716</v>
      </c>
      <c r="F198" s="22">
        <v>202311110617</v>
      </c>
      <c r="G198" s="16">
        <f>VLOOKUP(E198,[1]笔试排名!$E$3:$F$315,2,0)</f>
        <v>119.95</v>
      </c>
      <c r="H198" s="17">
        <v>81.6</v>
      </c>
      <c r="I198" s="17">
        <v>80.62</v>
      </c>
    </row>
    <row r="199" customHeight="1" spans="1:9">
      <c r="A199" s="11">
        <v>197</v>
      </c>
      <c r="B199" s="21" t="s">
        <v>208</v>
      </c>
      <c r="C199" s="20">
        <v>20230912</v>
      </c>
      <c r="D199" s="14" t="s">
        <v>196</v>
      </c>
      <c r="E199" s="21" t="str">
        <f>"202309024505"</f>
        <v>202309024505</v>
      </c>
      <c r="F199" s="22">
        <v>202311110639</v>
      </c>
      <c r="G199" s="16">
        <f>VLOOKUP(E199,[1]笔试排名!$E$3:$F$315,2,0)</f>
        <v>116.11</v>
      </c>
      <c r="H199" s="17">
        <v>79.3</v>
      </c>
      <c r="I199" s="17">
        <v>78.164</v>
      </c>
    </row>
    <row r="200" customHeight="1" spans="1:9">
      <c r="A200" s="11">
        <v>198</v>
      </c>
      <c r="B200" s="21" t="s">
        <v>209</v>
      </c>
      <c r="C200" s="20">
        <v>20230912</v>
      </c>
      <c r="D200" s="14" t="s">
        <v>196</v>
      </c>
      <c r="E200" s="21" t="str">
        <f>"202309023615"</f>
        <v>202309023615</v>
      </c>
      <c r="F200" s="22">
        <v>202311110634</v>
      </c>
      <c r="G200" s="16">
        <f>VLOOKUP(E200,[1]笔试排名!$E$3:$F$315,2,0)</f>
        <v>116.58</v>
      </c>
      <c r="H200" s="17">
        <v>76</v>
      </c>
      <c r="I200" s="17">
        <v>77.032</v>
      </c>
    </row>
    <row r="201" customHeight="1" spans="1:9">
      <c r="A201" s="11">
        <v>199</v>
      </c>
      <c r="B201" s="21" t="s">
        <v>210</v>
      </c>
      <c r="C201" s="20">
        <v>20230912</v>
      </c>
      <c r="D201" s="14" t="s">
        <v>196</v>
      </c>
      <c r="E201" s="21" t="str">
        <f>"202309022218"</f>
        <v>202309022218</v>
      </c>
      <c r="F201" s="22">
        <v>202311110641</v>
      </c>
      <c r="G201" s="16">
        <f>VLOOKUP(E201,[1]笔试排名!$E$3:$F$315,2,0)</f>
        <v>115.93</v>
      </c>
      <c r="H201" s="17">
        <v>81.9</v>
      </c>
      <c r="I201" s="17">
        <v>79.132</v>
      </c>
    </row>
    <row r="202" customHeight="1" spans="1:9">
      <c r="A202" s="11">
        <v>200</v>
      </c>
      <c r="B202" s="21" t="s">
        <v>211</v>
      </c>
      <c r="C202" s="20">
        <v>20230912</v>
      </c>
      <c r="D202" s="14" t="s">
        <v>196</v>
      </c>
      <c r="E202" s="21" t="str">
        <f>"202309023327"</f>
        <v>202309023327</v>
      </c>
      <c r="F202" s="22">
        <v>202311110624</v>
      </c>
      <c r="G202" s="16">
        <f>VLOOKUP(E202,[1]笔试排名!$E$3:$F$315,2,0)</f>
        <v>119.13</v>
      </c>
      <c r="H202" s="17">
        <v>73.6</v>
      </c>
      <c r="I202" s="17">
        <v>77.092</v>
      </c>
    </row>
    <row r="203" customHeight="1" spans="1:9">
      <c r="A203" s="11">
        <v>201</v>
      </c>
      <c r="B203" s="21" t="s">
        <v>212</v>
      </c>
      <c r="C203" s="20">
        <v>20230912</v>
      </c>
      <c r="D203" s="14" t="s">
        <v>196</v>
      </c>
      <c r="E203" s="21" t="str">
        <f>"202309024514"</f>
        <v>202309024514</v>
      </c>
      <c r="F203" s="22">
        <v>202311110625</v>
      </c>
      <c r="G203" s="16">
        <f>VLOOKUP(E203,[1]笔试排名!$E$3:$F$315,2,0)</f>
        <v>118.95</v>
      </c>
      <c r="H203" s="17">
        <v>76.1</v>
      </c>
      <c r="I203" s="17">
        <v>78.02</v>
      </c>
    </row>
    <row r="204" customHeight="1" spans="1:9">
      <c r="A204" s="11">
        <v>202</v>
      </c>
      <c r="B204" s="21" t="s">
        <v>213</v>
      </c>
      <c r="C204" s="20">
        <v>20230912</v>
      </c>
      <c r="D204" s="14" t="s">
        <v>196</v>
      </c>
      <c r="E204" s="21" t="str">
        <f>"202309022728"</f>
        <v>202309022728</v>
      </c>
      <c r="F204" s="22">
        <v>202311110611</v>
      </c>
      <c r="G204" s="16">
        <f>VLOOKUP(E204,[1]笔试排名!$E$3:$F$315,2,0)</f>
        <v>121.86</v>
      </c>
      <c r="H204" s="17">
        <v>75.8</v>
      </c>
      <c r="I204" s="17">
        <v>79.064</v>
      </c>
    </row>
    <row r="205" customHeight="1" spans="1:9">
      <c r="A205" s="11">
        <v>203</v>
      </c>
      <c r="B205" s="21" t="s">
        <v>214</v>
      </c>
      <c r="C205" s="20">
        <v>20230912</v>
      </c>
      <c r="D205" s="14" t="s">
        <v>196</v>
      </c>
      <c r="E205" s="21" t="str">
        <f>"202309022828"</f>
        <v>202309022828</v>
      </c>
      <c r="F205" s="22">
        <v>202311110640</v>
      </c>
      <c r="G205" s="16">
        <f>VLOOKUP(E205,[1]笔试排名!$E$3:$F$315,2,0)</f>
        <v>116.06</v>
      </c>
      <c r="H205" s="17">
        <v>82.8</v>
      </c>
      <c r="I205" s="17">
        <v>79.544</v>
      </c>
    </row>
    <row r="206" customHeight="1" spans="1:9">
      <c r="A206" s="11">
        <v>204</v>
      </c>
      <c r="B206" s="21" t="s">
        <v>215</v>
      </c>
      <c r="C206" s="20">
        <v>20230912</v>
      </c>
      <c r="D206" s="14" t="s">
        <v>196</v>
      </c>
      <c r="E206" s="21" t="str">
        <f>"202309022501"</f>
        <v>202309022501</v>
      </c>
      <c r="F206" s="22">
        <v>202311110643</v>
      </c>
      <c r="G206" s="16">
        <f>VLOOKUP(E206,[1]笔试排名!$E$3:$F$315,2,0)</f>
        <v>115.5</v>
      </c>
      <c r="H206" s="17">
        <v>81</v>
      </c>
      <c r="I206" s="17">
        <v>78.6</v>
      </c>
    </row>
    <row r="207" customHeight="1" spans="1:9">
      <c r="A207" s="11">
        <v>205</v>
      </c>
      <c r="B207" s="21" t="s">
        <v>216</v>
      </c>
      <c r="C207" s="20">
        <v>20230912</v>
      </c>
      <c r="D207" s="14" t="s">
        <v>196</v>
      </c>
      <c r="E207" s="21" t="str">
        <f>"202309023912"</f>
        <v>202309023912</v>
      </c>
      <c r="F207" s="22">
        <v>202311110628</v>
      </c>
      <c r="G207" s="16">
        <f>VLOOKUP(E207,[1]笔试排名!$E$3:$F$315,2,0)</f>
        <v>117.86</v>
      </c>
      <c r="H207" s="17">
        <v>77.7</v>
      </c>
      <c r="I207" s="17">
        <v>78.224</v>
      </c>
    </row>
    <row r="208" customHeight="1" spans="1:9">
      <c r="A208" s="11">
        <v>206</v>
      </c>
      <c r="B208" s="21" t="s">
        <v>217</v>
      </c>
      <c r="C208" s="20">
        <v>20230912</v>
      </c>
      <c r="D208" s="14" t="s">
        <v>196</v>
      </c>
      <c r="E208" s="21" t="str">
        <f>"202309024604"</f>
        <v>202309024604</v>
      </c>
      <c r="F208" s="22">
        <v>202311110614</v>
      </c>
      <c r="G208" s="16">
        <f>VLOOKUP(E208,[1]笔试排名!$E$3:$F$315,2,0)</f>
        <v>121.14</v>
      </c>
      <c r="H208" s="17">
        <v>80.2</v>
      </c>
      <c r="I208" s="17">
        <v>80.536</v>
      </c>
    </row>
    <row r="209" customHeight="1" spans="1:9">
      <c r="A209" s="11">
        <v>207</v>
      </c>
      <c r="B209" s="21" t="s">
        <v>218</v>
      </c>
      <c r="C209" s="20">
        <v>20230912</v>
      </c>
      <c r="D209" s="14" t="s">
        <v>196</v>
      </c>
      <c r="E209" s="21" t="str">
        <f>"202309023407"</f>
        <v>202309023407</v>
      </c>
      <c r="F209" s="22">
        <v>202311110621</v>
      </c>
      <c r="G209" s="16">
        <f>VLOOKUP(E209,[1]笔试排名!$E$3:$F$315,2,0)</f>
        <v>119.36</v>
      </c>
      <c r="H209" s="17">
        <v>75</v>
      </c>
      <c r="I209" s="17">
        <v>77.744</v>
      </c>
    </row>
    <row r="210" customHeight="1" spans="1:9">
      <c r="A210" s="11">
        <v>208</v>
      </c>
      <c r="B210" s="21" t="s">
        <v>219</v>
      </c>
      <c r="C210" s="20">
        <v>20230912</v>
      </c>
      <c r="D210" s="14" t="s">
        <v>196</v>
      </c>
      <c r="E210" s="21" t="str">
        <f>"202309022523"</f>
        <v>202309022523</v>
      </c>
      <c r="F210" s="22">
        <v>202311110603</v>
      </c>
      <c r="G210" s="16">
        <f>VLOOKUP(E210,[1]笔试排名!$E$3:$F$315,2,0)</f>
        <v>124.05</v>
      </c>
      <c r="H210" s="17" t="s">
        <v>17</v>
      </c>
      <c r="I210" s="17">
        <v>49.62</v>
      </c>
    </row>
    <row r="211" customHeight="1" spans="1:9">
      <c r="A211" s="11">
        <v>209</v>
      </c>
      <c r="B211" s="21" t="s">
        <v>220</v>
      </c>
      <c r="C211" s="20">
        <v>20230912</v>
      </c>
      <c r="D211" s="14" t="s">
        <v>196</v>
      </c>
      <c r="E211" s="21" t="str">
        <f>"202309022508"</f>
        <v>202309022508</v>
      </c>
      <c r="F211" s="22">
        <v>202311110629</v>
      </c>
      <c r="G211" s="16">
        <f>VLOOKUP(E211,[1]笔试排名!$E$3:$F$315,2,0)</f>
        <v>117.74</v>
      </c>
      <c r="H211" s="17">
        <v>76</v>
      </c>
      <c r="I211" s="17">
        <v>77.496</v>
      </c>
    </row>
    <row r="212" customHeight="1" spans="1:9">
      <c r="A212" s="11">
        <v>210</v>
      </c>
      <c r="B212" s="21" t="s">
        <v>221</v>
      </c>
      <c r="C212" s="20">
        <v>20230912</v>
      </c>
      <c r="D212" s="14" t="s">
        <v>196</v>
      </c>
      <c r="E212" s="21" t="str">
        <f>"202309022324"</f>
        <v>202309022324</v>
      </c>
      <c r="F212" s="22">
        <v>202311110608</v>
      </c>
      <c r="G212" s="16">
        <f>VLOOKUP(E212,[1]笔试排名!$E$3:$F$315,2,0)</f>
        <v>122.37</v>
      </c>
      <c r="H212" s="17">
        <v>79</v>
      </c>
      <c r="I212" s="17">
        <v>80.548</v>
      </c>
    </row>
    <row r="213" customHeight="1" spans="1:9">
      <c r="A213" s="11">
        <v>211</v>
      </c>
      <c r="B213" s="21" t="s">
        <v>222</v>
      </c>
      <c r="C213" s="20">
        <v>20230912</v>
      </c>
      <c r="D213" s="14" t="s">
        <v>196</v>
      </c>
      <c r="E213" s="21" t="str">
        <f>"202309023418"</f>
        <v>202309023418</v>
      </c>
      <c r="F213" s="22">
        <v>202311110612</v>
      </c>
      <c r="G213" s="16">
        <f>VLOOKUP(E213,[1]笔试排名!$E$3:$F$315,2,0)</f>
        <v>121.37</v>
      </c>
      <c r="H213" s="17">
        <v>80.6</v>
      </c>
      <c r="I213" s="17">
        <v>80.788</v>
      </c>
    </row>
    <row r="214" customHeight="1" spans="1:9">
      <c r="A214" s="11">
        <v>212</v>
      </c>
      <c r="B214" s="21" t="s">
        <v>223</v>
      </c>
      <c r="C214" s="20">
        <v>20230912</v>
      </c>
      <c r="D214" s="14" t="s">
        <v>196</v>
      </c>
      <c r="E214" s="21" t="str">
        <f>"202309024316"</f>
        <v>202309024316</v>
      </c>
      <c r="F214" s="22">
        <v>202311110604</v>
      </c>
      <c r="G214" s="16">
        <f>VLOOKUP(E214,[1]笔试排名!$E$3:$F$315,2,0)</f>
        <v>123.82</v>
      </c>
      <c r="H214" s="17" t="s">
        <v>17</v>
      </c>
      <c r="I214" s="17">
        <v>49.528</v>
      </c>
    </row>
    <row r="215" customHeight="1" spans="1:9">
      <c r="A215" s="11">
        <v>213</v>
      </c>
      <c r="B215" s="21" t="s">
        <v>224</v>
      </c>
      <c r="C215" s="20">
        <v>20230912</v>
      </c>
      <c r="D215" s="14" t="s">
        <v>196</v>
      </c>
      <c r="E215" s="21" t="str">
        <f>"202309024327"</f>
        <v>202309024327</v>
      </c>
      <c r="F215" s="22">
        <v>202311110645</v>
      </c>
      <c r="G215" s="16">
        <f>VLOOKUP(E215,[1]笔试排名!$E$3:$F$315,2,0)</f>
        <v>115.47</v>
      </c>
      <c r="H215" s="17">
        <v>77.2</v>
      </c>
      <c r="I215" s="17">
        <v>77.068</v>
      </c>
    </row>
    <row r="216" customHeight="1" spans="1:9">
      <c r="A216" s="11">
        <v>214</v>
      </c>
      <c r="B216" s="21" t="s">
        <v>225</v>
      </c>
      <c r="C216" s="20">
        <v>20230912</v>
      </c>
      <c r="D216" s="14" t="s">
        <v>196</v>
      </c>
      <c r="E216" s="21" t="str">
        <f>"202309022816"</f>
        <v>202309022816</v>
      </c>
      <c r="F216" s="22">
        <v>202311110627</v>
      </c>
      <c r="G216" s="16">
        <f>VLOOKUP(E216,[1]笔试排名!$E$3:$F$315,2,0)</f>
        <v>118.38</v>
      </c>
      <c r="H216" s="17">
        <v>76.4</v>
      </c>
      <c r="I216" s="17">
        <v>77.912</v>
      </c>
    </row>
    <row r="217" customHeight="1" spans="1:9">
      <c r="A217" s="11">
        <v>215</v>
      </c>
      <c r="B217" s="21" t="s">
        <v>226</v>
      </c>
      <c r="C217" s="20">
        <v>20230912</v>
      </c>
      <c r="D217" s="14" t="s">
        <v>196</v>
      </c>
      <c r="E217" s="21" t="str">
        <f>"202309023217"</f>
        <v>202309023217</v>
      </c>
      <c r="F217" s="22">
        <v>202311110605</v>
      </c>
      <c r="G217" s="16">
        <f>VLOOKUP(E217,[1]笔试排名!$E$3:$F$315,2,0)</f>
        <v>123.64</v>
      </c>
      <c r="H217" s="17" t="s">
        <v>17</v>
      </c>
      <c r="I217" s="17">
        <v>49.456</v>
      </c>
    </row>
    <row r="218" customHeight="1" spans="1:9">
      <c r="A218" s="11">
        <v>216</v>
      </c>
      <c r="B218" s="21" t="s">
        <v>227</v>
      </c>
      <c r="C218" s="20">
        <v>20230912</v>
      </c>
      <c r="D218" s="14" t="s">
        <v>196</v>
      </c>
      <c r="E218" s="21" t="str">
        <f>"202309022913"</f>
        <v>202309022913</v>
      </c>
      <c r="F218" s="22">
        <v>202311110606</v>
      </c>
      <c r="G218" s="16">
        <f>VLOOKUP(E218,[1]笔试排名!$E$3:$F$315,2,0)</f>
        <v>123.07</v>
      </c>
      <c r="H218" s="17" t="s">
        <v>17</v>
      </c>
      <c r="I218" s="17">
        <v>49.228</v>
      </c>
    </row>
    <row r="219" customHeight="1" spans="1:9">
      <c r="A219" s="11">
        <v>217</v>
      </c>
      <c r="B219" s="21" t="s">
        <v>228</v>
      </c>
      <c r="C219" s="20">
        <v>20230912</v>
      </c>
      <c r="D219" s="14" t="s">
        <v>196</v>
      </c>
      <c r="E219" s="21" t="str">
        <f>"202309022309"</f>
        <v>202309022309</v>
      </c>
      <c r="F219" s="22">
        <v>202311110630</v>
      </c>
      <c r="G219" s="16">
        <f>VLOOKUP(E219,[1]笔试排名!$E$3:$F$315,2,0)</f>
        <v>116.98</v>
      </c>
      <c r="H219" s="17" t="s">
        <v>17</v>
      </c>
      <c r="I219" s="17">
        <v>46.792</v>
      </c>
    </row>
    <row r="220" customHeight="1" spans="1:9">
      <c r="A220" s="11">
        <v>218</v>
      </c>
      <c r="B220" s="21" t="s">
        <v>229</v>
      </c>
      <c r="C220" s="20">
        <v>20230912</v>
      </c>
      <c r="D220" s="14" t="s">
        <v>196</v>
      </c>
      <c r="E220" s="21" t="str">
        <f>"202309022924"</f>
        <v>202309022924</v>
      </c>
      <c r="F220" s="22">
        <v>202311110623</v>
      </c>
      <c r="G220" s="16">
        <f>VLOOKUP(E220,[1]笔试排名!$E$3:$F$315,2,0)</f>
        <v>119.18</v>
      </c>
      <c r="H220" s="17">
        <v>78.6</v>
      </c>
      <c r="I220" s="17">
        <v>79.112</v>
      </c>
    </row>
    <row r="221" customHeight="1" spans="1:9">
      <c r="A221" s="11">
        <v>219</v>
      </c>
      <c r="B221" s="21" t="s">
        <v>230</v>
      </c>
      <c r="C221" s="20">
        <v>20230912</v>
      </c>
      <c r="D221" s="14" t="s">
        <v>196</v>
      </c>
      <c r="E221" s="21" t="str">
        <f>"202309023608"</f>
        <v>202309023608</v>
      </c>
      <c r="F221" s="22">
        <v>202311110633</v>
      </c>
      <c r="G221" s="16">
        <f>VLOOKUP(E221,[1]笔试排名!$E$3:$F$315,2,0)</f>
        <v>116.58</v>
      </c>
      <c r="H221" s="17" t="s">
        <v>17</v>
      </c>
      <c r="I221" s="17">
        <v>46.632</v>
      </c>
    </row>
    <row r="222" customHeight="1" spans="1:9">
      <c r="A222" s="11">
        <v>220</v>
      </c>
      <c r="B222" s="21" t="s">
        <v>231</v>
      </c>
      <c r="C222" s="20">
        <v>20230912</v>
      </c>
      <c r="D222" s="14" t="s">
        <v>196</v>
      </c>
      <c r="E222" s="21" t="str">
        <f>"202309023907"</f>
        <v>202309023907</v>
      </c>
      <c r="F222" s="22">
        <v>202311110637</v>
      </c>
      <c r="G222" s="16">
        <f>VLOOKUP(E222,[1]笔试排名!$E$3:$F$315,2,0)</f>
        <v>116.22</v>
      </c>
      <c r="H222" s="17" t="s">
        <v>17</v>
      </c>
      <c r="I222" s="17">
        <v>46.488</v>
      </c>
    </row>
    <row r="223" customHeight="1" spans="1:9">
      <c r="A223" s="11">
        <v>221</v>
      </c>
      <c r="B223" s="21" t="s">
        <v>232</v>
      </c>
      <c r="C223" s="20">
        <v>20230912</v>
      </c>
      <c r="D223" s="14" t="s">
        <v>196</v>
      </c>
      <c r="E223" s="21" t="str">
        <f>"202309024403"</f>
        <v>202309024403</v>
      </c>
      <c r="F223" s="22">
        <v>202311110644</v>
      </c>
      <c r="G223" s="16">
        <f>VLOOKUP(E223,[1]笔试排名!$E$3:$F$315,2,0)</f>
        <v>115.49</v>
      </c>
      <c r="H223" s="17" t="s">
        <v>17</v>
      </c>
      <c r="I223" s="17">
        <v>46.196</v>
      </c>
    </row>
    <row r="224" customHeight="1" spans="1:9">
      <c r="A224" s="11">
        <v>222</v>
      </c>
      <c r="B224" s="21" t="s">
        <v>233</v>
      </c>
      <c r="C224" s="20">
        <v>20230912</v>
      </c>
      <c r="D224" s="14" t="s">
        <v>196</v>
      </c>
      <c r="E224" s="21" t="str">
        <f>"202309024520"</f>
        <v>202309024520</v>
      </c>
      <c r="F224" s="22">
        <v>202311110635</v>
      </c>
      <c r="G224" s="16">
        <f>VLOOKUP(E224,[1]笔试排名!$E$3:$F$315,2,0)</f>
        <v>116.4</v>
      </c>
      <c r="H224" s="17">
        <v>79.4</v>
      </c>
      <c r="I224" s="17">
        <v>78.32</v>
      </c>
    </row>
    <row r="225" customHeight="1" spans="1:9">
      <c r="A225" s="11">
        <v>223</v>
      </c>
      <c r="B225" s="21" t="s">
        <v>234</v>
      </c>
      <c r="C225" s="20">
        <v>20230912</v>
      </c>
      <c r="D225" s="14" t="s">
        <v>196</v>
      </c>
      <c r="E225" s="21" t="str">
        <f>"202309024622"</f>
        <v>202309024622</v>
      </c>
      <c r="F225" s="22">
        <v>202311110632</v>
      </c>
      <c r="G225" s="16">
        <f>VLOOKUP(E225,[1]笔试排名!$E$3:$F$315,2,0)</f>
        <v>116.84</v>
      </c>
      <c r="H225" s="17">
        <v>75</v>
      </c>
      <c r="I225" s="17">
        <v>76.736</v>
      </c>
    </row>
    <row r="226" customHeight="1" spans="1:9">
      <c r="A226" s="11">
        <v>224</v>
      </c>
      <c r="B226" s="21" t="s">
        <v>235</v>
      </c>
      <c r="C226" s="20">
        <v>20230912</v>
      </c>
      <c r="D226" s="14" t="s">
        <v>196</v>
      </c>
      <c r="E226" s="21" t="str">
        <f>"202309024517"</f>
        <v>202309024517</v>
      </c>
      <c r="F226" s="22">
        <v>202311110636</v>
      </c>
      <c r="G226" s="16">
        <f>VLOOKUP(E226,[1]笔试排名!$E$3:$F$315,2,0)</f>
        <v>116.35</v>
      </c>
      <c r="H226" s="17">
        <v>83.3</v>
      </c>
      <c r="I226" s="17">
        <v>79.86</v>
      </c>
    </row>
    <row r="227" customHeight="1" spans="1:9">
      <c r="A227" s="11">
        <v>225</v>
      </c>
      <c r="B227" s="21" t="s">
        <v>236</v>
      </c>
      <c r="C227" s="20">
        <v>20230912</v>
      </c>
      <c r="D227" s="14" t="s">
        <v>196</v>
      </c>
      <c r="E227" s="21" t="str">
        <f>"202309024021"</f>
        <v>202309024021</v>
      </c>
      <c r="F227" s="22">
        <v>202311110601</v>
      </c>
      <c r="G227" s="16">
        <f>VLOOKUP(E227,[1]笔试排名!$E$3:$F$315,2,0)</f>
        <v>126.3</v>
      </c>
      <c r="H227" s="17">
        <v>78.5</v>
      </c>
      <c r="I227" s="17">
        <v>81.92</v>
      </c>
    </row>
    <row r="228" customHeight="1" spans="1:9">
      <c r="A228" s="11">
        <v>226</v>
      </c>
      <c r="B228" s="21" t="s">
        <v>237</v>
      </c>
      <c r="C228" s="20">
        <v>20230912</v>
      </c>
      <c r="D228" s="14" t="s">
        <v>196</v>
      </c>
      <c r="E228" s="21" t="str">
        <f>"202309022606"</f>
        <v>202309022606</v>
      </c>
      <c r="F228" s="22">
        <v>202311110620</v>
      </c>
      <c r="G228" s="16">
        <f>VLOOKUP(E228,[1]笔试排名!$E$3:$F$315,2,0)</f>
        <v>119.41</v>
      </c>
      <c r="H228" s="17">
        <v>80</v>
      </c>
      <c r="I228" s="17">
        <v>79.764</v>
      </c>
    </row>
    <row r="229" customHeight="1" spans="1:9">
      <c r="A229" s="11">
        <v>227</v>
      </c>
      <c r="B229" s="21" t="s">
        <v>238</v>
      </c>
      <c r="C229" s="20">
        <v>20230912</v>
      </c>
      <c r="D229" s="14" t="s">
        <v>196</v>
      </c>
      <c r="E229" s="21" t="str">
        <f>"202309024013"</f>
        <v>202309024013</v>
      </c>
      <c r="F229" s="22">
        <v>202311110615</v>
      </c>
      <c r="G229" s="16">
        <f>VLOOKUP(E229,[1]笔试排名!$E$3:$F$315,2,0)</f>
        <v>121.03</v>
      </c>
      <c r="H229" s="17">
        <v>82</v>
      </c>
      <c r="I229" s="17">
        <v>81.212</v>
      </c>
    </row>
    <row r="230" customHeight="1" spans="1:9">
      <c r="A230" s="11">
        <v>228</v>
      </c>
      <c r="B230" s="21" t="s">
        <v>239</v>
      </c>
      <c r="C230" s="20">
        <v>20230912</v>
      </c>
      <c r="D230" s="14" t="s">
        <v>196</v>
      </c>
      <c r="E230" s="21" t="str">
        <f>"202309023415"</f>
        <v>202309023415</v>
      </c>
      <c r="F230" s="22">
        <v>202311110626</v>
      </c>
      <c r="G230" s="16">
        <f>VLOOKUP(E230,[1]笔试排名!$E$3:$F$315,2,0)</f>
        <v>118.66</v>
      </c>
      <c r="H230" s="17">
        <v>78</v>
      </c>
      <c r="I230" s="17">
        <v>78.664</v>
      </c>
    </row>
    <row r="231" customHeight="1" spans="1:9">
      <c r="A231" s="11">
        <v>229</v>
      </c>
      <c r="B231" s="21" t="s">
        <v>240</v>
      </c>
      <c r="C231" s="20">
        <v>20230912</v>
      </c>
      <c r="D231" s="14" t="s">
        <v>196</v>
      </c>
      <c r="E231" s="21" t="str">
        <f>"202309024425"</f>
        <v>202309024425</v>
      </c>
      <c r="F231" s="22">
        <v>202311110622</v>
      </c>
      <c r="G231" s="16">
        <f>VLOOKUP(E231,[1]笔试排名!$E$3:$F$315,2,0)</f>
        <v>119.2</v>
      </c>
      <c r="H231" s="17">
        <v>77.8</v>
      </c>
      <c r="I231" s="17">
        <v>78.8</v>
      </c>
    </row>
  </sheetData>
  <mergeCells count="1">
    <mergeCell ref="A1:I1"/>
  </mergeCells>
  <printOptions horizontalCentered="1"/>
  <pageMargins left="0.196527777777778" right="0.196527777777778" top="0.590277777777778" bottom="0.590277777777778" header="0.314583333333333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2023-11-11T08:57:04Z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C9B569087BE64A10B7C2A165483E989E</vt:lpwstr>
  </property>
</Properties>
</file>